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ЭтаКнига"/>
  <mc:AlternateContent xmlns:mc="http://schemas.openxmlformats.org/markup-compatibility/2006">
    <mc:Choice Requires="x15">
      <x15ac:absPath xmlns:x15ac="http://schemas.microsoft.com/office/spreadsheetml/2010/11/ac" url="C:\Users\Палихов\Desktop\"/>
    </mc:Choice>
  </mc:AlternateContent>
  <bookViews>
    <workbookView xWindow="0" yWindow="300" windowWidth="20490" windowHeight="7455" firstSheet="1" activeTab="7"/>
  </bookViews>
  <sheets>
    <sheet name="MonsterStats" sheetId="11" r:id="rId1"/>
    <sheet name="MonsterBuilder" sheetId="12" r:id="rId2"/>
    <sheet name="MonsterList" sheetId="3" r:id="rId3"/>
    <sheet name="EncCalc" sheetId="4" r:id="rId4"/>
    <sheet name="Combat" sheetId="8" r:id="rId5"/>
    <sheet name="Roller" sheetId="9" r:id="rId6"/>
    <sheet name="Лист5" sheetId="7" r:id="rId7"/>
    <sheet name="Лист3" sheetId="10" r:id="rId8"/>
  </sheets>
  <externalReferences>
    <externalReference r:id="rId9"/>
    <externalReference r:id="rId10"/>
    <externalReference r:id="rId11"/>
    <externalReference r:id="rId12"/>
  </externalReferences>
  <definedNames>
    <definedName name="_xlnm._FilterDatabase" localSheetId="6" hidden="1">Лист5!$A$1:$D$629</definedName>
    <definedName name="CRStatsTable">[1]CRStats!$A$3:$J$36</definedName>
    <definedName name="EncounterName1">EncCalc!$C$14</definedName>
    <definedName name="EncounterName10">EncCalc!$C$212</definedName>
    <definedName name="EncounterName2">EncCalc!$C$36</definedName>
    <definedName name="EncounterName3">EncCalc!$C$58</definedName>
    <definedName name="EncounterName4">EncCalc!$C$80</definedName>
    <definedName name="EncounterName5">EncCalc!$C$102</definedName>
    <definedName name="EncounterName6">EncCalc!$C$124</definedName>
    <definedName name="EncounterName7">EncCalc!$C$146</definedName>
    <definedName name="EncounterName8">EncCalc!$C$168</definedName>
    <definedName name="EncounterName9">EncCalc!$C$190</definedName>
    <definedName name="MinDPRList">[1]CRStats!$G$3:$G$36</definedName>
    <definedName name="MinHPList">[1]CRStats!$D$3:$D$36</definedName>
    <definedName name="NumberOfCharacters">EncCalc!$J$2</definedName>
    <definedName name="PartyCPDay">EncCalc!$H$12</definedName>
    <definedName name="PartyDeadly">EncCalc!$G$12</definedName>
    <definedName name="PartyEasy">EncCalc!$D$12</definedName>
    <definedName name="PartyHard">EncCalc!$F$12</definedName>
    <definedName name="PartyMedium">EncCalc!$E$12</definedName>
    <definedName name="PartyPower">EncCalc!$J$6</definedName>
    <definedName name="PCharacter1">'[2]PC Notes'!$A$2</definedName>
    <definedName name="PCharacter2">'[2]PC Notes'!$A$3</definedName>
    <definedName name="PCharacter3">'[2]PC Notes'!$A$4</definedName>
    <definedName name="PCharacter4">'[2]PC Notes'!$A$5</definedName>
    <definedName name="PCharacter5">'[2]PC Notes'!$A$6</definedName>
    <definedName name="PCharacter6">'[2]PC Notes'!$A$7</definedName>
    <definedName name="RecommendedBudgetSR">EncCalc!$J$5</definedName>
    <definedName name="Speed">'[3]Under Hood'!$I$2:$I$8</definedName>
    <definedName name="TableCharAdv">[2]Reference!$A$3:$E$22</definedName>
    <definedName name="Terrain">'[3]Under Hood'!$C$2:$C$12</definedName>
    <definedName name="TerrainSpeedMod">'[3]Under Hood'!$C$14</definedName>
    <definedName name="TraitNameCount">COUNTA([1]Traits!$A:$A)-1</definedName>
    <definedName name="TraitNames">OFFSET([1]Traits!$A$2, 0, 0, TraitNameCount, 1)</definedName>
    <definedName name="TraitRange">OFFSET([1]Traits!$A$2, 0, 0, TraitNameCount, 3)</definedName>
    <definedName name="TravelFeature">'[3]Under Hood'!$D$1:$F$1</definedName>
    <definedName name="YesNo">'[3]Under Hood'!$A$1:$A$2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3" l="1"/>
  <c r="G29" i="3"/>
  <c r="G28" i="3"/>
  <c r="G27" i="3"/>
  <c r="G26" i="3"/>
  <c r="G25" i="3"/>
  <c r="G24" i="3"/>
  <c r="G23" i="3"/>
  <c r="G22" i="3"/>
  <c r="G21" i="3"/>
  <c r="G20" i="3"/>
  <c r="G19" i="3"/>
  <c r="G18" i="3"/>
  <c r="G17" i="3"/>
  <c r="G16" i="3"/>
  <c r="G15" i="3"/>
  <c r="G14" i="3"/>
  <c r="G13" i="3"/>
  <c r="G12" i="3"/>
  <c r="G11" i="3"/>
  <c r="G10" i="3"/>
  <c r="G9" i="3"/>
  <c r="G8" i="3"/>
  <c r="G7" i="3"/>
  <c r="G6" i="3"/>
  <c r="G5" i="3"/>
  <c r="G4" i="3"/>
  <c r="G3" i="3"/>
  <c r="H29" i="3" l="1"/>
  <c r="F29" i="3"/>
  <c r="I29" i="3" s="1"/>
  <c r="E29" i="3"/>
  <c r="D29" i="3"/>
  <c r="C29" i="3"/>
  <c r="B29" i="3"/>
  <c r="F28" i="3"/>
  <c r="C28" i="3"/>
  <c r="B28" i="3"/>
  <c r="F27" i="3"/>
  <c r="C27" i="3"/>
  <c r="B27" i="3"/>
  <c r="H30" i="3"/>
  <c r="F30" i="3"/>
  <c r="I30" i="3" s="1"/>
  <c r="E30" i="3"/>
  <c r="D30" i="3"/>
  <c r="C30" i="3"/>
  <c r="B30" i="3"/>
  <c r="X337" i="11"/>
  <c r="V337" i="11"/>
  <c r="R347" i="11" s="1"/>
  <c r="T337" i="11"/>
  <c r="S359" i="11" s="1"/>
  <c r="R337" i="11"/>
  <c r="O343" i="11" s="1"/>
  <c r="P337" i="11"/>
  <c r="N335" i="11" s="1"/>
  <c r="N337" i="11"/>
  <c r="O341" i="11" s="1"/>
  <c r="V333" i="11"/>
  <c r="H28" i="3" s="1"/>
  <c r="U333" i="11"/>
  <c r="W333" i="11" s="1"/>
  <c r="D28" i="3" s="1"/>
  <c r="F359" i="11"/>
  <c r="K337" i="11"/>
  <c r="E343" i="11" s="1"/>
  <c r="I337" i="11"/>
  <c r="E342" i="11" s="1"/>
  <c r="G337" i="11"/>
  <c r="E341" i="11" s="1"/>
  <c r="E337" i="11"/>
  <c r="B343" i="11" s="1"/>
  <c r="C337" i="11"/>
  <c r="B342" i="11" s="1"/>
  <c r="A337" i="11"/>
  <c r="H333" i="11"/>
  <c r="J333" i="11" s="1"/>
  <c r="D27" i="3" s="1"/>
  <c r="A333" i="11"/>
  <c r="E27" i="3" s="1"/>
  <c r="F26" i="3"/>
  <c r="C26" i="3"/>
  <c r="B26" i="3"/>
  <c r="F25" i="3"/>
  <c r="E25" i="3"/>
  <c r="C25" i="3"/>
  <c r="B25" i="3"/>
  <c r="F24" i="3"/>
  <c r="C24" i="3"/>
  <c r="B24" i="3"/>
  <c r="F23" i="3"/>
  <c r="C23" i="3"/>
  <c r="B23" i="3"/>
  <c r="B214" i="4" s="1"/>
  <c r="F22" i="3"/>
  <c r="C22" i="3"/>
  <c r="B22" i="3"/>
  <c r="F21" i="3"/>
  <c r="C21" i="3"/>
  <c r="B21" i="3"/>
  <c r="F20" i="3"/>
  <c r="C20" i="3"/>
  <c r="B20" i="3"/>
  <c r="F19" i="3"/>
  <c r="C19" i="3"/>
  <c r="B19" i="3"/>
  <c r="F18" i="3"/>
  <c r="C18" i="3"/>
  <c r="B18" i="3"/>
  <c r="AF318" i="11"/>
  <c r="AC318" i="11"/>
  <c r="AK296" i="11"/>
  <c r="AE302" i="11" s="1"/>
  <c r="AI296" i="11"/>
  <c r="AE306" i="11" s="1"/>
  <c r="AG296" i="11"/>
  <c r="AE300" i="11" s="1"/>
  <c r="AE296" i="11"/>
  <c r="AB302" i="11" s="1"/>
  <c r="AC296" i="11"/>
  <c r="AA294" i="11" s="1"/>
  <c r="AA296" i="11"/>
  <c r="AE304" i="11" s="1"/>
  <c r="AH292" i="11"/>
  <c r="AJ292" i="11" s="1"/>
  <c r="D26" i="3" s="1"/>
  <c r="S318" i="11"/>
  <c r="P318" i="11"/>
  <c r="R307" i="11"/>
  <c r="R302" i="11"/>
  <c r="X296" i="11"/>
  <c r="V296" i="11"/>
  <c r="R306" i="11" s="1"/>
  <c r="T296" i="11"/>
  <c r="R300" i="11" s="1"/>
  <c r="R296" i="11"/>
  <c r="O302" i="11" s="1"/>
  <c r="P296" i="11"/>
  <c r="O301" i="11" s="1"/>
  <c r="N296" i="11"/>
  <c r="R305" i="11" s="1"/>
  <c r="N294" i="11"/>
  <c r="V292" i="11"/>
  <c r="H25" i="3" s="1"/>
  <c r="U292" i="11"/>
  <c r="N292" i="11"/>
  <c r="F318" i="11"/>
  <c r="C318" i="11"/>
  <c r="K296" i="11"/>
  <c r="E302" i="11" s="1"/>
  <c r="I296" i="11"/>
  <c r="E306" i="11" s="1"/>
  <c r="G296" i="11"/>
  <c r="E300" i="11" s="1"/>
  <c r="E296" i="11"/>
  <c r="I292" i="11" s="1"/>
  <c r="C296" i="11"/>
  <c r="A294" i="11" s="1"/>
  <c r="A296" i="11"/>
  <c r="E305" i="11" s="1"/>
  <c r="H292" i="11"/>
  <c r="J292" i="11" s="1"/>
  <c r="D24" i="3" s="1"/>
  <c r="AF277" i="11"/>
  <c r="AC277" i="11"/>
  <c r="AK255" i="11"/>
  <c r="AE261" i="11" s="1"/>
  <c r="AI255" i="11"/>
  <c r="AE265" i="11" s="1"/>
  <c r="AG255" i="11"/>
  <c r="AE259" i="11" s="1"/>
  <c r="AE255" i="11"/>
  <c r="AB261" i="11" s="1"/>
  <c r="AC255" i="11"/>
  <c r="AA253" i="11" s="1"/>
  <c r="AA255" i="11"/>
  <c r="AB259" i="11" s="1"/>
  <c r="AH251" i="11"/>
  <c r="S277" i="11"/>
  <c r="P277" i="11"/>
  <c r="R266" i="11"/>
  <c r="X255" i="11"/>
  <c r="V255" i="11"/>
  <c r="R265" i="11" s="1"/>
  <c r="T255" i="11"/>
  <c r="R259" i="11" s="1"/>
  <c r="R255" i="11"/>
  <c r="O261" i="11" s="1"/>
  <c r="P255" i="11"/>
  <c r="N253" i="11" s="1"/>
  <c r="N255" i="11"/>
  <c r="O259" i="11" s="1"/>
  <c r="U251" i="11"/>
  <c r="W251" i="11" s="1"/>
  <c r="D22" i="3" s="1"/>
  <c r="F277" i="11"/>
  <c r="C277" i="11"/>
  <c r="K255" i="11"/>
  <c r="E264" i="11" s="1"/>
  <c r="I255" i="11"/>
  <c r="E265" i="11" s="1"/>
  <c r="G255" i="11"/>
  <c r="E259" i="11" s="1"/>
  <c r="E255" i="11"/>
  <c r="B261" i="11" s="1"/>
  <c r="C255" i="11"/>
  <c r="A253" i="11" s="1"/>
  <c r="A255" i="11"/>
  <c r="B259" i="11" s="1"/>
  <c r="H251" i="11"/>
  <c r="AF236" i="11"/>
  <c r="AC236" i="11"/>
  <c r="S236" i="11"/>
  <c r="P236" i="11"/>
  <c r="F236" i="11"/>
  <c r="C236" i="11"/>
  <c r="AK214" i="11"/>
  <c r="AE220" i="11" s="1"/>
  <c r="AI214" i="11"/>
  <c r="AE222" i="11" s="1"/>
  <c r="AG214" i="11"/>
  <c r="AE218" i="11" s="1"/>
  <c r="AE214" i="11"/>
  <c r="AE224" i="11" s="1"/>
  <c r="AC214" i="11"/>
  <c r="AB219" i="11" s="1"/>
  <c r="AA214" i="11"/>
  <c r="AB218" i="11" s="1"/>
  <c r="X214" i="11"/>
  <c r="R220" i="11" s="1"/>
  <c r="V214" i="11"/>
  <c r="W218" i="11" s="1"/>
  <c r="T214" i="11"/>
  <c r="R218" i="11" s="1"/>
  <c r="R214" i="11"/>
  <c r="O220" i="11" s="1"/>
  <c r="P214" i="11"/>
  <c r="R223" i="11" s="1"/>
  <c r="N214" i="11"/>
  <c r="O218" i="11" s="1"/>
  <c r="K214" i="11"/>
  <c r="E220" i="11" s="1"/>
  <c r="I214" i="11"/>
  <c r="E226" i="11" s="1"/>
  <c r="G214" i="11"/>
  <c r="E218" i="11" s="1"/>
  <c r="E214" i="11"/>
  <c r="I210" i="11" s="1"/>
  <c r="C214" i="11"/>
  <c r="B219" i="11" s="1"/>
  <c r="A214" i="11"/>
  <c r="N212" i="11"/>
  <c r="AH210" i="11"/>
  <c r="AJ210" i="11" s="1"/>
  <c r="D20" i="3" s="1"/>
  <c r="U210" i="11"/>
  <c r="H210" i="11"/>
  <c r="A210" i="11"/>
  <c r="E18" i="3" s="1"/>
  <c r="F17" i="3"/>
  <c r="C17" i="3"/>
  <c r="B17" i="3"/>
  <c r="B83" i="4" s="1"/>
  <c r="F16" i="3"/>
  <c r="C16" i="3"/>
  <c r="B16" i="3"/>
  <c r="B84" i="4" s="1"/>
  <c r="F15" i="3"/>
  <c r="C15" i="3"/>
  <c r="B15" i="3"/>
  <c r="F14" i="3"/>
  <c r="C14" i="3"/>
  <c r="B14" i="3"/>
  <c r="B60" i="4" s="1"/>
  <c r="F13" i="3"/>
  <c r="C13" i="3"/>
  <c r="B13" i="3"/>
  <c r="B39" i="4" s="1"/>
  <c r="F12" i="3"/>
  <c r="C12" i="3"/>
  <c r="B12" i="3"/>
  <c r="B104" i="4" s="1"/>
  <c r="F11" i="3"/>
  <c r="C11" i="3"/>
  <c r="B11" i="3"/>
  <c r="B16" i="4" s="1"/>
  <c r="F10" i="3"/>
  <c r="C10" i="3"/>
  <c r="B10" i="3"/>
  <c r="F9" i="3"/>
  <c r="C9" i="3"/>
  <c r="B9" i="3"/>
  <c r="B18" i="4" s="1"/>
  <c r="F8" i="3"/>
  <c r="F7" i="3"/>
  <c r="F6" i="3"/>
  <c r="F5" i="3"/>
  <c r="F4" i="3"/>
  <c r="F3" i="3"/>
  <c r="C8" i="3"/>
  <c r="B8" i="3"/>
  <c r="C7" i="3"/>
  <c r="B7" i="3"/>
  <c r="B38" i="4" s="1"/>
  <c r="C6" i="3"/>
  <c r="B6" i="3"/>
  <c r="B17" i="4" s="1"/>
  <c r="A41" i="11"/>
  <c r="C5" i="3"/>
  <c r="B5" i="3"/>
  <c r="B215" i="4" s="1"/>
  <c r="B4" i="3"/>
  <c r="C3" i="3"/>
  <c r="B3" i="3"/>
  <c r="B40" i="4" s="1"/>
  <c r="M1" i="11"/>
  <c r="C37" i="12"/>
  <c r="C31" i="12"/>
  <c r="E31" i="12" s="1"/>
  <c r="D32" i="12" s="1"/>
  <c r="C30" i="12"/>
  <c r="E30" i="12" s="1"/>
  <c r="U27" i="12"/>
  <c r="V27" i="12" s="1"/>
  <c r="C36" i="12" s="1"/>
  <c r="E36" i="12" s="1"/>
  <c r="C25" i="12"/>
  <c r="C24" i="12"/>
  <c r="D24" i="12" s="1"/>
  <c r="C23" i="12"/>
  <c r="D23" i="12" s="1"/>
  <c r="D26" i="12" s="1"/>
  <c r="K18" i="12"/>
  <c r="C15" i="12"/>
  <c r="H14" i="12"/>
  <c r="C11" i="12"/>
  <c r="C10" i="12"/>
  <c r="Q9" i="12"/>
  <c r="K15" i="12" s="1"/>
  <c r="O9" i="12"/>
  <c r="K21" i="12" s="1"/>
  <c r="M9" i="12"/>
  <c r="K13" i="12" s="1"/>
  <c r="K9" i="12"/>
  <c r="I9" i="12"/>
  <c r="G9" i="12"/>
  <c r="K17" i="12" s="1"/>
  <c r="C9" i="12"/>
  <c r="C8" i="12"/>
  <c r="G7" i="12"/>
  <c r="C7" i="12"/>
  <c r="C6" i="12"/>
  <c r="P5" i="12"/>
  <c r="C14" i="12" s="1"/>
  <c r="E14" i="12" s="1"/>
  <c r="N5" i="12"/>
  <c r="C5" i="12"/>
  <c r="T4" i="12"/>
  <c r="C4" i="12"/>
  <c r="T3" i="12"/>
  <c r="G2" i="12"/>
  <c r="I31" i="12" s="1"/>
  <c r="AF195" i="11"/>
  <c r="AC195" i="11"/>
  <c r="S195" i="11"/>
  <c r="P195" i="11"/>
  <c r="F195" i="11"/>
  <c r="C195" i="11"/>
  <c r="AE179" i="11"/>
  <c r="R179" i="11"/>
  <c r="E179" i="11"/>
  <c r="AJ177" i="11"/>
  <c r="R177" i="11"/>
  <c r="B177" i="11"/>
  <c r="AK173" i="11"/>
  <c r="AI173" i="11"/>
  <c r="AG173" i="11"/>
  <c r="AE177" i="11" s="1"/>
  <c r="AE173" i="11"/>
  <c r="AC173" i="11"/>
  <c r="AB178" i="11" s="1"/>
  <c r="AA173" i="11"/>
  <c r="AB177" i="11" s="1"/>
  <c r="X173" i="11"/>
  <c r="V173" i="11"/>
  <c r="T173" i="11"/>
  <c r="R173" i="11"/>
  <c r="P173" i="11"/>
  <c r="R182" i="11" s="1"/>
  <c r="N173" i="11"/>
  <c r="K173" i="11"/>
  <c r="I173" i="11"/>
  <c r="E185" i="11" s="1"/>
  <c r="G173" i="11"/>
  <c r="E177" i="11" s="1"/>
  <c r="E173" i="11"/>
  <c r="C173" i="11"/>
  <c r="B178" i="11" s="1"/>
  <c r="A173" i="11"/>
  <c r="E181" i="11" s="1"/>
  <c r="AA171" i="11"/>
  <c r="N171" i="11"/>
  <c r="A171" i="11"/>
  <c r="AH169" i="11"/>
  <c r="AA169" i="11"/>
  <c r="E17" i="3" s="1"/>
  <c r="U169" i="11"/>
  <c r="N169" i="11"/>
  <c r="E16" i="3" s="1"/>
  <c r="J169" i="11"/>
  <c r="D15" i="3" s="1"/>
  <c r="H169" i="11"/>
  <c r="A169" i="11"/>
  <c r="E15" i="3" s="1"/>
  <c r="AF154" i="11"/>
  <c r="AC154" i="11"/>
  <c r="S154" i="11"/>
  <c r="P154" i="11"/>
  <c r="F154" i="11"/>
  <c r="C154" i="11"/>
  <c r="AE138" i="11"/>
  <c r="R138" i="11"/>
  <c r="E138" i="11"/>
  <c r="AE137" i="11"/>
  <c r="E137" i="11"/>
  <c r="AJ136" i="11"/>
  <c r="AB136" i="11"/>
  <c r="R136" i="11"/>
  <c r="J136" i="11"/>
  <c r="B136" i="11"/>
  <c r="AK132" i="11"/>
  <c r="AE140" i="11" s="1"/>
  <c r="AI132" i="11"/>
  <c r="AE144" i="11" s="1"/>
  <c r="AG132" i="11"/>
  <c r="AE143" i="11" s="1"/>
  <c r="AE132" i="11"/>
  <c r="AC132" i="11"/>
  <c r="AB137" i="11" s="1"/>
  <c r="AA132" i="11"/>
  <c r="X132" i="11"/>
  <c r="R140" i="11" s="1"/>
  <c r="V132" i="11"/>
  <c r="T132" i="11"/>
  <c r="R143" i="11" s="1"/>
  <c r="R132" i="11"/>
  <c r="P132" i="11"/>
  <c r="R141" i="11" s="1"/>
  <c r="N132" i="11"/>
  <c r="O136" i="11" s="1"/>
  <c r="K132" i="11"/>
  <c r="I132" i="11"/>
  <c r="G132" i="11"/>
  <c r="E136" i="11" s="1"/>
  <c r="E132" i="11"/>
  <c r="C132" i="11"/>
  <c r="B137" i="11" s="1"/>
  <c r="A132" i="11"/>
  <c r="E140" i="11" s="1"/>
  <c r="AA130" i="11"/>
  <c r="N130" i="11"/>
  <c r="A130" i="11"/>
  <c r="AH128" i="11"/>
  <c r="AA128" i="11"/>
  <c r="E14" i="3" s="1"/>
  <c r="W128" i="11"/>
  <c r="D13" i="3" s="1"/>
  <c r="U128" i="11"/>
  <c r="N128" i="11"/>
  <c r="E13" i="3" s="1"/>
  <c r="H128" i="11"/>
  <c r="J128" i="11" s="1"/>
  <c r="D12" i="3" s="1"/>
  <c r="A128" i="11"/>
  <c r="E12" i="3" s="1"/>
  <c r="F113" i="11"/>
  <c r="C113" i="11"/>
  <c r="AE97" i="11"/>
  <c r="R97" i="11"/>
  <c r="E97" i="11"/>
  <c r="AJ95" i="11"/>
  <c r="R95" i="11"/>
  <c r="B95" i="11"/>
  <c r="AK91" i="11"/>
  <c r="AI91" i="11"/>
  <c r="AG91" i="11"/>
  <c r="AE99" i="11" s="1"/>
  <c r="AE91" i="11"/>
  <c r="AC91" i="11"/>
  <c r="AB96" i="11" s="1"/>
  <c r="AA91" i="11"/>
  <c r="AB95" i="11" s="1"/>
  <c r="X91" i="11"/>
  <c r="R100" i="11" s="1"/>
  <c r="V91" i="11"/>
  <c r="T91" i="11"/>
  <c r="R102" i="11" s="1"/>
  <c r="R91" i="11"/>
  <c r="P91" i="11"/>
  <c r="O96" i="11" s="1"/>
  <c r="N91" i="11"/>
  <c r="O95" i="11" s="1"/>
  <c r="K91" i="11"/>
  <c r="I91" i="11"/>
  <c r="E96" i="11" s="1"/>
  <c r="G91" i="11"/>
  <c r="E95" i="11" s="1"/>
  <c r="E91" i="11"/>
  <c r="C91" i="11"/>
  <c r="B96" i="11" s="1"/>
  <c r="A91" i="11"/>
  <c r="AA89" i="11"/>
  <c r="N89" i="11"/>
  <c r="A89" i="11"/>
  <c r="AH87" i="11"/>
  <c r="AA87" i="11"/>
  <c r="E11" i="3" s="1"/>
  <c r="U87" i="11"/>
  <c r="N87" i="11"/>
  <c r="E10" i="3" s="1"/>
  <c r="J87" i="11"/>
  <c r="D9" i="3" s="1"/>
  <c r="H87" i="11"/>
  <c r="A87" i="11"/>
  <c r="E9" i="3" s="1"/>
  <c r="AF72" i="11"/>
  <c r="AC72" i="11"/>
  <c r="S72" i="11"/>
  <c r="P72" i="11"/>
  <c r="F72" i="11"/>
  <c r="C72" i="11"/>
  <c r="AE56" i="11"/>
  <c r="R56" i="11"/>
  <c r="E56" i="11"/>
  <c r="AE55" i="11"/>
  <c r="E55" i="11"/>
  <c r="AJ54" i="11"/>
  <c r="AB54" i="11"/>
  <c r="R54" i="11"/>
  <c r="J54" i="11"/>
  <c r="B54" i="11"/>
  <c r="AK50" i="11"/>
  <c r="AI50" i="11"/>
  <c r="AG50" i="11"/>
  <c r="AE59" i="11" s="1"/>
  <c r="AE50" i="11"/>
  <c r="AC50" i="11"/>
  <c r="AB55" i="11" s="1"/>
  <c r="AA50" i="11"/>
  <c r="X50" i="11"/>
  <c r="V50" i="11"/>
  <c r="T50" i="11"/>
  <c r="R61" i="11" s="1"/>
  <c r="R50" i="11"/>
  <c r="P50" i="11"/>
  <c r="O55" i="11" s="1"/>
  <c r="N50" i="11"/>
  <c r="O54" i="11" s="1"/>
  <c r="K50" i="11"/>
  <c r="E58" i="11" s="1"/>
  <c r="I50" i="11"/>
  <c r="E62" i="11" s="1"/>
  <c r="G50" i="11"/>
  <c r="E61" i="11" s="1"/>
  <c r="E50" i="11"/>
  <c r="C50" i="11"/>
  <c r="B55" i="11" s="1"/>
  <c r="A50" i="11"/>
  <c r="AA48" i="11"/>
  <c r="N48" i="11"/>
  <c r="A48" i="11"/>
  <c r="AH46" i="11"/>
  <c r="AA46" i="11"/>
  <c r="E8" i="3" s="1"/>
  <c r="W46" i="11"/>
  <c r="D7" i="3" s="1"/>
  <c r="U46" i="11"/>
  <c r="N46" i="11"/>
  <c r="E7" i="3" s="1"/>
  <c r="H46" i="11"/>
  <c r="J46" i="11" s="1"/>
  <c r="D6" i="3" s="1"/>
  <c r="A46" i="11"/>
  <c r="E6" i="3" s="1"/>
  <c r="AF31" i="11"/>
  <c r="AC31" i="11"/>
  <c r="S31" i="11"/>
  <c r="P31" i="11"/>
  <c r="F31" i="11"/>
  <c r="E17" i="11"/>
  <c r="AB15" i="11"/>
  <c r="O15" i="11"/>
  <c r="B15" i="11"/>
  <c r="W13" i="11"/>
  <c r="O13" i="11"/>
  <c r="AK9" i="11"/>
  <c r="AE15" i="11" s="1"/>
  <c r="AI9" i="11"/>
  <c r="AE14" i="11" s="1"/>
  <c r="AG9" i="11"/>
  <c r="AE20" i="11" s="1"/>
  <c r="AE9" i="11"/>
  <c r="AE19" i="11" s="1"/>
  <c r="AC9" i="11"/>
  <c r="AE18" i="11" s="1"/>
  <c r="AA9" i="11"/>
  <c r="AB13" i="11" s="1"/>
  <c r="X9" i="11"/>
  <c r="R15" i="11" s="1"/>
  <c r="V9" i="11"/>
  <c r="R14" i="11" s="1"/>
  <c r="T9" i="11"/>
  <c r="R9" i="11"/>
  <c r="R19" i="11" s="1"/>
  <c r="P9" i="11"/>
  <c r="R18" i="11" s="1"/>
  <c r="N9" i="11"/>
  <c r="R17" i="11" s="1"/>
  <c r="K9" i="11"/>
  <c r="E15" i="11" s="1"/>
  <c r="I9" i="11"/>
  <c r="E21" i="11" s="1"/>
  <c r="G9" i="11"/>
  <c r="E20" i="11" s="1"/>
  <c r="E9" i="11"/>
  <c r="E19" i="11" s="1"/>
  <c r="C9" i="11"/>
  <c r="E18" i="11" s="1"/>
  <c r="A9" i="11"/>
  <c r="B13" i="11" s="1"/>
  <c r="AA7" i="11"/>
  <c r="A7" i="11"/>
  <c r="AI5" i="11"/>
  <c r="H5" i="3" s="1"/>
  <c r="AH5" i="11"/>
  <c r="Y5" i="11"/>
  <c r="C4" i="3" s="1"/>
  <c r="W5" i="11"/>
  <c r="D4" i="3" s="1"/>
  <c r="V5" i="11"/>
  <c r="H4" i="3" s="1"/>
  <c r="U5" i="11"/>
  <c r="J5" i="11"/>
  <c r="D3" i="3" s="1"/>
  <c r="I5" i="11"/>
  <c r="H5" i="11"/>
  <c r="A5" i="11"/>
  <c r="E3" i="3" s="1"/>
  <c r="I4" i="3" l="1"/>
  <c r="I5" i="3"/>
  <c r="I20" i="3"/>
  <c r="I25" i="3"/>
  <c r="I28" i="3"/>
  <c r="AJ5" i="11"/>
  <c r="D5" i="3" s="1"/>
  <c r="O14" i="11"/>
  <c r="E101" i="11"/>
  <c r="I87" i="11"/>
  <c r="B97" i="11"/>
  <c r="W95" i="11"/>
  <c r="R103" i="11"/>
  <c r="R99" i="11"/>
  <c r="P113" i="11"/>
  <c r="AI87" i="11"/>
  <c r="H11" i="3" s="1"/>
  <c r="I11" i="3" s="1"/>
  <c r="AB97" i="11"/>
  <c r="I169" i="11"/>
  <c r="E184" i="11"/>
  <c r="E183" i="11"/>
  <c r="B179" i="11"/>
  <c r="O177" i="11"/>
  <c r="R181" i="11"/>
  <c r="W177" i="11"/>
  <c r="R185" i="11"/>
  <c r="AE183" i="11"/>
  <c r="AI169" i="11"/>
  <c r="H17" i="3" s="1"/>
  <c r="I17" i="3" s="1"/>
  <c r="AB179" i="11"/>
  <c r="AE184" i="11"/>
  <c r="AB14" i="11"/>
  <c r="I46" i="11"/>
  <c r="E60" i="11"/>
  <c r="B56" i="11"/>
  <c r="R62" i="11"/>
  <c r="R58" i="11"/>
  <c r="W54" i="11"/>
  <c r="AI46" i="11"/>
  <c r="H8" i="3" s="1"/>
  <c r="I8" i="3" s="1"/>
  <c r="AB56" i="11"/>
  <c r="AE60" i="11"/>
  <c r="J95" i="11"/>
  <c r="S113" i="11"/>
  <c r="I128" i="11"/>
  <c r="B138" i="11"/>
  <c r="E142" i="11"/>
  <c r="W136" i="11"/>
  <c r="R144" i="11"/>
  <c r="AI128" i="11"/>
  <c r="H14" i="3" s="1"/>
  <c r="I14" i="3" s="1"/>
  <c r="AE142" i="11"/>
  <c r="AB138" i="11"/>
  <c r="J177" i="11"/>
  <c r="E178" i="11"/>
  <c r="H24" i="3"/>
  <c r="I24" i="3" s="1"/>
  <c r="H6" i="3"/>
  <c r="I6" i="3" s="1"/>
  <c r="H21" i="3"/>
  <c r="I21" i="3" s="1"/>
  <c r="H15" i="3"/>
  <c r="I15" i="3" s="1"/>
  <c r="H3" i="3"/>
  <c r="I3" i="3" s="1"/>
  <c r="H27" i="3"/>
  <c r="I27" i="3" s="1"/>
  <c r="H18" i="3"/>
  <c r="I18" i="3" s="1"/>
  <c r="H12" i="3"/>
  <c r="I12" i="3" s="1"/>
  <c r="H9" i="3"/>
  <c r="I9" i="3" s="1"/>
  <c r="N5" i="11"/>
  <c r="E4" i="3" s="1"/>
  <c r="R20" i="11"/>
  <c r="R13" i="11"/>
  <c r="AE13" i="11"/>
  <c r="AJ87" i="11"/>
  <c r="D11" i="3" s="1"/>
  <c r="E103" i="11"/>
  <c r="E99" i="11"/>
  <c r="O97" i="11"/>
  <c r="V87" i="11"/>
  <c r="H10" i="3" s="1"/>
  <c r="I10" i="3" s="1"/>
  <c r="AE103" i="11"/>
  <c r="AC113" i="11"/>
  <c r="AE102" i="11"/>
  <c r="AE100" i="11"/>
  <c r="R96" i="11"/>
  <c r="AF113" i="11"/>
  <c r="AJ169" i="11"/>
  <c r="D17" i="3" s="1"/>
  <c r="R184" i="11"/>
  <c r="O179" i="11"/>
  <c r="V169" i="11"/>
  <c r="H16" i="3" s="1"/>
  <c r="I16" i="3" s="1"/>
  <c r="R183" i="11"/>
  <c r="AE185" i="11"/>
  <c r="AE181" i="11"/>
  <c r="R178" i="11"/>
  <c r="AA5" i="11"/>
  <c r="E5" i="3" s="1"/>
  <c r="N7" i="11"/>
  <c r="E13" i="11"/>
  <c r="B14" i="11"/>
  <c r="AJ46" i="11"/>
  <c r="D8" i="3" s="1"/>
  <c r="O56" i="11"/>
  <c r="V46" i="11"/>
  <c r="H7" i="3" s="1"/>
  <c r="I7" i="3" s="1"/>
  <c r="R60" i="11"/>
  <c r="AE62" i="11"/>
  <c r="AE58" i="11"/>
  <c r="R55" i="11"/>
  <c r="W87" i="11"/>
  <c r="D10" i="3" s="1"/>
  <c r="AE96" i="11"/>
  <c r="AJ128" i="11"/>
  <c r="D14" i="3" s="1"/>
  <c r="E141" i="11"/>
  <c r="E144" i="11"/>
  <c r="R142" i="11"/>
  <c r="O138" i="11"/>
  <c r="V128" i="11"/>
  <c r="H13" i="3" s="1"/>
  <c r="I13" i="3" s="1"/>
  <c r="R137" i="11"/>
  <c r="W169" i="11"/>
  <c r="D16" i="3" s="1"/>
  <c r="AE178" i="11"/>
  <c r="K20" i="12"/>
  <c r="O5" i="12"/>
  <c r="K19" i="12"/>
  <c r="L31" i="12"/>
  <c r="W210" i="11"/>
  <c r="D19" i="3" s="1"/>
  <c r="R21" i="11"/>
  <c r="R59" i="11"/>
  <c r="E102" i="11"/>
  <c r="R101" i="11"/>
  <c r="E182" i="11"/>
  <c r="AJ13" i="11"/>
  <c r="AE54" i="11"/>
  <c r="AE95" i="11"/>
  <c r="AE136" i="11"/>
  <c r="O137" i="11"/>
  <c r="O178" i="11"/>
  <c r="AB220" i="11"/>
  <c r="AE17" i="11"/>
  <c r="AE21" i="11"/>
  <c r="AE61" i="11"/>
  <c r="E59" i="11"/>
  <c r="AE101" i="11"/>
  <c r="AE141" i="11"/>
  <c r="E143" i="11"/>
  <c r="R264" i="11"/>
  <c r="I333" i="11"/>
  <c r="E347" i="11"/>
  <c r="E100" i="11"/>
  <c r="AE182" i="11"/>
  <c r="J251" i="11"/>
  <c r="D21" i="3" s="1"/>
  <c r="R261" i="11"/>
  <c r="AJ251" i="11"/>
  <c r="D23" i="3" s="1"/>
  <c r="E346" i="11"/>
  <c r="C359" i="11"/>
  <c r="J13" i="11"/>
  <c r="E14" i="11"/>
  <c r="C31" i="11"/>
  <c r="E54" i="11"/>
  <c r="R346" i="11"/>
  <c r="B171" i="4"/>
  <c r="B170" i="4"/>
  <c r="B149" i="4"/>
  <c r="B148" i="4"/>
  <c r="B127" i="4"/>
  <c r="B126" i="4"/>
  <c r="R343" i="11"/>
  <c r="R345" i="11"/>
  <c r="P359" i="11"/>
  <c r="W341" i="11"/>
  <c r="R348" i="11"/>
  <c r="O342" i="11"/>
  <c r="R349" i="11"/>
  <c r="R342" i="11"/>
  <c r="N333" i="11"/>
  <c r="E28" i="3" s="1"/>
  <c r="R341" i="11"/>
  <c r="E348" i="11"/>
  <c r="A335" i="11"/>
  <c r="J341" i="11"/>
  <c r="E345" i="11"/>
  <c r="E349" i="11"/>
  <c r="B341" i="11"/>
  <c r="B105" i="4"/>
  <c r="B82" i="4"/>
  <c r="B61" i="4"/>
  <c r="AI292" i="11"/>
  <c r="H26" i="3" s="1"/>
  <c r="I26" i="3" s="1"/>
  <c r="AE307" i="11"/>
  <c r="AE308" i="11"/>
  <c r="AB300" i="11"/>
  <c r="AE301" i="11"/>
  <c r="AE305" i="11"/>
  <c r="AJ300" i="11"/>
  <c r="AB301" i="11"/>
  <c r="AA292" i="11"/>
  <c r="E26" i="3" s="1"/>
  <c r="W292" i="11"/>
  <c r="D25" i="3" s="1"/>
  <c r="B302" i="11"/>
  <c r="E307" i="11"/>
  <c r="R304" i="11"/>
  <c r="R308" i="11"/>
  <c r="W300" i="11"/>
  <c r="O300" i="11"/>
  <c r="R301" i="11"/>
  <c r="J300" i="11"/>
  <c r="B301" i="11"/>
  <c r="E304" i="11"/>
  <c r="E308" i="11"/>
  <c r="B300" i="11"/>
  <c r="E301" i="11"/>
  <c r="A292" i="11"/>
  <c r="E24" i="3" s="1"/>
  <c r="AI251" i="11"/>
  <c r="H23" i="3" s="1"/>
  <c r="I23" i="3" s="1"/>
  <c r="AJ259" i="11"/>
  <c r="AE266" i="11"/>
  <c r="AB260" i="11"/>
  <c r="AE263" i="11"/>
  <c r="AE267" i="11"/>
  <c r="AE260" i="11"/>
  <c r="AE264" i="11"/>
  <c r="AA251" i="11"/>
  <c r="E23" i="3" s="1"/>
  <c r="V251" i="11"/>
  <c r="H22" i="3" s="1"/>
  <c r="I22" i="3" s="1"/>
  <c r="O260" i="11"/>
  <c r="R263" i="11"/>
  <c r="R267" i="11"/>
  <c r="W259" i="11"/>
  <c r="R260" i="11"/>
  <c r="N251" i="11"/>
  <c r="E22" i="3" s="1"/>
  <c r="P13" i="12"/>
  <c r="K14" i="12"/>
  <c r="T6" i="12"/>
  <c r="T5" i="12"/>
  <c r="H15" i="12"/>
  <c r="D27" i="12"/>
  <c r="H13" i="12"/>
  <c r="E261" i="11"/>
  <c r="I251" i="11"/>
  <c r="E266" i="11"/>
  <c r="B260" i="11"/>
  <c r="E263" i="11"/>
  <c r="E267" i="11"/>
  <c r="J259" i="11"/>
  <c r="E260" i="11"/>
  <c r="A251" i="11"/>
  <c r="E21" i="3" s="1"/>
  <c r="AA210" i="11"/>
  <c r="E20" i="3" s="1"/>
  <c r="AE223" i="11"/>
  <c r="R226" i="11"/>
  <c r="N210" i="11"/>
  <c r="E19" i="3" s="1"/>
  <c r="O219" i="11"/>
  <c r="R222" i="11"/>
  <c r="E223" i="11"/>
  <c r="E224" i="11"/>
  <c r="E225" i="11"/>
  <c r="E222" i="11"/>
  <c r="J210" i="11"/>
  <c r="D18" i="3" s="1"/>
  <c r="B220" i="11"/>
  <c r="J218" i="11"/>
  <c r="E219" i="11"/>
  <c r="AE226" i="11"/>
  <c r="B218" i="11"/>
  <c r="AJ218" i="11"/>
  <c r="R219" i="11"/>
  <c r="R224" i="11"/>
  <c r="AE225" i="11"/>
  <c r="AE219" i="11"/>
  <c r="A212" i="11"/>
  <c r="R225" i="11"/>
  <c r="V210" i="11"/>
  <c r="H19" i="3" s="1"/>
  <c r="I19" i="3" s="1"/>
  <c r="AI210" i="11"/>
  <c r="H20" i="3" s="1"/>
  <c r="AA212" i="11"/>
  <c r="E15" i="12"/>
  <c r="E16" i="12" s="1"/>
  <c r="E17" i="12" s="1"/>
  <c r="E18" i="12" s="1"/>
  <c r="Z5" i="12" s="1"/>
  <c r="E37" i="12"/>
  <c r="E38" i="12" s="1"/>
  <c r="E39" i="12" s="1"/>
  <c r="E40" i="12" s="1"/>
  <c r="Z6" i="12" s="1"/>
  <c r="AR113" i="8"/>
  <c r="AR112" i="8"/>
  <c r="AR111" i="8"/>
  <c r="AR110" i="8"/>
  <c r="AR109" i="8"/>
  <c r="AR108" i="8"/>
  <c r="AR107" i="8"/>
  <c r="AR106" i="8"/>
  <c r="AR105" i="8"/>
  <c r="AR104" i="8"/>
  <c r="AR103" i="8"/>
  <c r="AR102" i="8"/>
  <c r="AR101" i="8"/>
  <c r="AR100" i="8"/>
  <c r="AR99" i="8"/>
  <c r="AR98" i="8"/>
  <c r="AR97" i="8"/>
  <c r="AR96" i="8"/>
  <c r="AR95" i="8"/>
  <c r="AR94" i="8"/>
  <c r="AR93" i="8"/>
  <c r="AR92" i="8"/>
  <c r="AR91" i="8"/>
  <c r="AR90" i="8"/>
  <c r="AR89" i="8"/>
  <c r="AR88" i="8"/>
  <c r="AR87" i="8"/>
  <c r="AR86" i="8"/>
  <c r="AR85" i="8"/>
  <c r="AR84" i="8"/>
  <c r="AR83" i="8"/>
  <c r="AR82" i="8"/>
  <c r="AR81" i="8"/>
  <c r="AR80" i="8"/>
  <c r="AR79" i="8"/>
  <c r="AR78" i="8"/>
  <c r="AR77" i="8"/>
  <c r="AR76" i="8"/>
  <c r="AR75" i="8"/>
  <c r="AR74" i="8"/>
  <c r="AR73" i="8"/>
  <c r="AR72" i="8"/>
  <c r="AR71" i="8"/>
  <c r="AR70" i="8"/>
  <c r="AR69" i="8"/>
  <c r="AR68" i="8"/>
  <c r="AR67" i="8"/>
  <c r="AR66" i="8"/>
  <c r="AR65" i="8"/>
  <c r="AR64" i="8"/>
  <c r="AR63" i="8"/>
  <c r="AR62" i="8"/>
  <c r="AR61" i="8"/>
  <c r="AR60" i="8"/>
  <c r="AR59" i="8"/>
  <c r="AR58" i="8"/>
  <c r="AR57" i="8"/>
  <c r="AR56" i="8"/>
  <c r="AR55" i="8"/>
  <c r="AR54" i="8"/>
  <c r="AR53" i="8"/>
  <c r="AR52" i="8"/>
  <c r="AR51" i="8"/>
  <c r="AR50" i="8"/>
  <c r="AR49" i="8"/>
  <c r="AR48" i="8"/>
  <c r="AR47" i="8"/>
  <c r="AR46" i="8"/>
  <c r="AR45" i="8"/>
  <c r="AR44" i="8"/>
  <c r="AR43" i="8"/>
  <c r="AR42" i="8"/>
  <c r="AR41" i="8"/>
  <c r="AR40" i="8"/>
  <c r="AR39" i="8"/>
  <c r="AR38" i="8"/>
  <c r="AR37" i="8"/>
  <c r="AR36" i="8"/>
  <c r="AR35" i="8"/>
  <c r="AR34" i="8"/>
  <c r="AR33" i="8"/>
  <c r="AR32" i="8"/>
  <c r="AR31" i="8"/>
  <c r="AR30" i="8"/>
  <c r="AR29" i="8"/>
  <c r="AR28" i="8"/>
  <c r="AR27" i="8"/>
  <c r="AR26" i="8"/>
  <c r="AR25" i="8"/>
  <c r="AR24" i="8"/>
  <c r="AR23" i="8"/>
  <c r="AR22" i="8"/>
  <c r="AR21" i="8"/>
  <c r="AR20" i="8"/>
  <c r="AR19" i="8"/>
  <c r="AR18" i="8"/>
  <c r="AR17" i="8"/>
  <c r="AR16" i="8"/>
  <c r="AR15" i="8"/>
  <c r="AR14" i="8"/>
  <c r="AR13" i="8"/>
  <c r="AR12" i="8"/>
  <c r="AR11" i="8"/>
  <c r="AR10" i="8"/>
  <c r="AR9" i="8"/>
  <c r="AR8" i="8"/>
  <c r="AR7" i="8"/>
  <c r="AR6" i="8"/>
  <c r="AR5" i="8"/>
  <c r="AR4" i="8"/>
  <c r="AF4" i="8"/>
  <c r="A200" i="9"/>
  <c r="A199" i="9"/>
  <c r="A198" i="9"/>
  <c r="A197" i="9"/>
  <c r="A196" i="9"/>
  <c r="A195" i="9"/>
  <c r="A194" i="9"/>
  <c r="A193" i="9"/>
  <c r="A192" i="9"/>
  <c r="A191" i="9"/>
  <c r="A190" i="9"/>
  <c r="A189" i="9"/>
  <c r="A188" i="9"/>
  <c r="A187" i="9"/>
  <c r="A186" i="9"/>
  <c r="A185" i="9"/>
  <c r="A184" i="9"/>
  <c r="A183" i="9"/>
  <c r="A182" i="9"/>
  <c r="A181" i="9"/>
  <c r="A180" i="9"/>
  <c r="A179" i="9"/>
  <c r="A178" i="9"/>
  <c r="A177" i="9"/>
  <c r="A176" i="9"/>
  <c r="A175" i="9"/>
  <c r="A174" i="9"/>
  <c r="A173" i="9"/>
  <c r="A172" i="9"/>
  <c r="A171" i="9"/>
  <c r="A170" i="9"/>
  <c r="A169" i="9"/>
  <c r="A168" i="9"/>
  <c r="A167" i="9"/>
  <c r="A166" i="9"/>
  <c r="A165" i="9"/>
  <c r="A164" i="9"/>
  <c r="A163" i="9"/>
  <c r="A162" i="9"/>
  <c r="A161" i="9"/>
  <c r="A160" i="9"/>
  <c r="A159" i="9"/>
  <c r="A158" i="9"/>
  <c r="A157" i="9"/>
  <c r="A156" i="9"/>
  <c r="A155" i="9"/>
  <c r="A154" i="9"/>
  <c r="A153" i="9"/>
  <c r="A152" i="9"/>
  <c r="A151" i="9"/>
  <c r="A150" i="9"/>
  <c r="A149" i="9"/>
  <c r="A148" i="9"/>
  <c r="A147" i="9"/>
  <c r="A146" i="9"/>
  <c r="A145" i="9"/>
  <c r="A144" i="9"/>
  <c r="A143" i="9"/>
  <c r="A142" i="9"/>
  <c r="A141" i="9"/>
  <c r="A140" i="9"/>
  <c r="A139" i="9"/>
  <c r="A138" i="9"/>
  <c r="A137" i="9"/>
  <c r="A136" i="9"/>
  <c r="A135" i="9"/>
  <c r="A134" i="9"/>
  <c r="A133" i="9"/>
  <c r="A132" i="9"/>
  <c r="A131" i="9"/>
  <c r="A130" i="9"/>
  <c r="A129" i="9"/>
  <c r="A128" i="9"/>
  <c r="A127" i="9"/>
  <c r="A126" i="9"/>
  <c r="A125" i="9"/>
  <c r="A124" i="9"/>
  <c r="A123" i="9"/>
  <c r="A122" i="9"/>
  <c r="A121" i="9"/>
  <c r="A120" i="9"/>
  <c r="A119" i="9"/>
  <c r="A118" i="9"/>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9" i="9"/>
  <c r="A48" i="9"/>
  <c r="A47" i="9"/>
  <c r="A46" i="9"/>
  <c r="A45" i="9"/>
  <c r="A44" i="9"/>
  <c r="A43" i="9"/>
  <c r="A42" i="9"/>
  <c r="A41" i="9"/>
  <c r="A40" i="9"/>
  <c r="A39" i="9"/>
  <c r="A38" i="9"/>
  <c r="A37" i="9"/>
  <c r="A36" i="9"/>
  <c r="A35" i="9"/>
  <c r="A34" i="9"/>
  <c r="A33" i="9"/>
  <c r="A32" i="9"/>
  <c r="A31" i="9"/>
  <c r="A30" i="9"/>
  <c r="A29" i="9"/>
  <c r="A28" i="9"/>
  <c r="A27" i="9"/>
  <c r="A26" i="9"/>
  <c r="A25" i="9"/>
  <c r="A24" i="9"/>
  <c r="A23" i="9"/>
  <c r="A22" i="9"/>
  <c r="A21" i="9"/>
  <c r="A20" i="9"/>
  <c r="A19" i="9"/>
  <c r="A18" i="9"/>
  <c r="A17" i="9"/>
  <c r="A16" i="9"/>
  <c r="A15" i="9"/>
  <c r="A14" i="9"/>
  <c r="A13" i="9"/>
  <c r="A12" i="9"/>
  <c r="A11" i="9"/>
  <c r="A10" i="9"/>
  <c r="A9" i="9"/>
  <c r="A8" i="9"/>
  <c r="A7" i="9"/>
  <c r="A6" i="9"/>
  <c r="A5" i="9"/>
  <c r="A4" i="9"/>
  <c r="Z7" i="12" l="1"/>
  <c r="O13" i="8"/>
  <c r="O12" i="8"/>
  <c r="O11" i="8"/>
  <c r="O10" i="8"/>
  <c r="O9" i="8"/>
  <c r="O8" i="8"/>
  <c r="O7" i="8"/>
  <c r="O6" i="8"/>
  <c r="O5" i="8"/>
  <c r="O4" i="8"/>
  <c r="Q4" i="8" s="1"/>
  <c r="B10" i="8"/>
  <c r="B77" i="8" s="1"/>
  <c r="B6" i="8"/>
  <c r="B37" i="8" s="1"/>
  <c r="B5" i="8"/>
  <c r="B27" i="8" s="1"/>
  <c r="C13" i="8"/>
  <c r="B108" i="8" s="1"/>
  <c r="C108" i="8" s="1"/>
  <c r="B13" i="8"/>
  <c r="B107" i="8" s="1"/>
  <c r="C107" i="8" s="1"/>
  <c r="C12" i="8"/>
  <c r="B98" i="8" s="1"/>
  <c r="C98" i="8" s="1"/>
  <c r="B12" i="8"/>
  <c r="B97" i="8" s="1"/>
  <c r="C97" i="8" s="1"/>
  <c r="C11" i="8"/>
  <c r="B88" i="8" s="1"/>
  <c r="C88" i="8" s="1"/>
  <c r="B11" i="8"/>
  <c r="B87" i="8" s="1"/>
  <c r="C87" i="8" s="1"/>
  <c r="C10" i="8"/>
  <c r="B86" i="8" s="1"/>
  <c r="C86" i="8" s="1"/>
  <c r="C9" i="8"/>
  <c r="B68" i="8" s="1"/>
  <c r="C68" i="8" s="1"/>
  <c r="B9" i="8"/>
  <c r="B67" i="8" s="1"/>
  <c r="C67" i="8" s="1"/>
  <c r="C8" i="8"/>
  <c r="B58" i="8" s="1"/>
  <c r="C58" i="8" s="1"/>
  <c r="B8" i="8"/>
  <c r="B57" i="8" s="1"/>
  <c r="C57" i="8" s="1"/>
  <c r="C7" i="8"/>
  <c r="B48" i="8" s="1"/>
  <c r="C48" i="8" s="1"/>
  <c r="B7" i="8"/>
  <c r="B47" i="8" s="1"/>
  <c r="C47" i="8" s="1"/>
  <c r="C6" i="8"/>
  <c r="B46" i="8" s="1"/>
  <c r="C46" i="8" s="1"/>
  <c r="C5" i="8"/>
  <c r="B36" i="8" s="1"/>
  <c r="C36" i="8" s="1"/>
  <c r="C4" i="8"/>
  <c r="B26" i="8" s="1"/>
  <c r="D214" i="4"/>
  <c r="E214" i="4" s="1"/>
  <c r="B4" i="8"/>
  <c r="B17" i="8" s="1"/>
  <c r="C17" i="8" s="1"/>
  <c r="D38" i="4"/>
  <c r="E38" i="4" s="1"/>
  <c r="J16" i="4"/>
  <c r="J38" i="4"/>
  <c r="L11" i="4"/>
  <c r="L10" i="4"/>
  <c r="L9" i="4"/>
  <c r="L8" i="4"/>
  <c r="L7" i="4"/>
  <c r="L6" i="4"/>
  <c r="L5" i="4"/>
  <c r="L4" i="4"/>
  <c r="E1" i="8" s="1"/>
  <c r="L3" i="4"/>
  <c r="L2" i="4"/>
  <c r="E233" i="4"/>
  <c r="E232" i="4"/>
  <c r="E231" i="4"/>
  <c r="E230" i="4"/>
  <c r="E229" i="4"/>
  <c r="E228" i="4"/>
  <c r="E227" i="4"/>
  <c r="E226" i="4"/>
  <c r="E225" i="4"/>
  <c r="E224" i="4"/>
  <c r="E223" i="4"/>
  <c r="E222" i="4"/>
  <c r="E221" i="4"/>
  <c r="E220" i="4"/>
  <c r="E219" i="4"/>
  <c r="E218" i="4"/>
  <c r="D217" i="4"/>
  <c r="E217" i="4" s="1"/>
  <c r="D216" i="4"/>
  <c r="E216" i="4" s="1"/>
  <c r="D215" i="4"/>
  <c r="E215" i="4" s="1"/>
  <c r="H214" i="4"/>
  <c r="E211" i="4"/>
  <c r="E210" i="4"/>
  <c r="E209" i="4"/>
  <c r="E208" i="4"/>
  <c r="E207" i="4"/>
  <c r="E206" i="4"/>
  <c r="E205" i="4"/>
  <c r="E204" i="4"/>
  <c r="E203" i="4"/>
  <c r="E202" i="4"/>
  <c r="E201" i="4"/>
  <c r="E200" i="4"/>
  <c r="E199" i="4"/>
  <c r="E198" i="4"/>
  <c r="E197" i="4"/>
  <c r="E196" i="4"/>
  <c r="D195" i="4"/>
  <c r="E195" i="4" s="1"/>
  <c r="D194" i="4"/>
  <c r="E194" i="4" s="1"/>
  <c r="D193" i="4"/>
  <c r="E193" i="4" s="1"/>
  <c r="H192" i="4"/>
  <c r="D192" i="4"/>
  <c r="E192" i="4" s="1"/>
  <c r="E189" i="4"/>
  <c r="E188" i="4"/>
  <c r="E187" i="4"/>
  <c r="E186" i="4"/>
  <c r="E185" i="4"/>
  <c r="E184" i="4"/>
  <c r="E183" i="4"/>
  <c r="E182" i="4"/>
  <c r="E181" i="4"/>
  <c r="E180" i="4"/>
  <c r="E179" i="4"/>
  <c r="E178" i="4"/>
  <c r="E177" i="4"/>
  <c r="E176" i="4"/>
  <c r="E175" i="4"/>
  <c r="E174" i="4"/>
  <c r="D173" i="4"/>
  <c r="E173" i="4" s="1"/>
  <c r="D172" i="4"/>
  <c r="E172" i="4" s="1"/>
  <c r="D171" i="4"/>
  <c r="E171" i="4" s="1"/>
  <c r="H170" i="4"/>
  <c r="D170" i="4"/>
  <c r="E170" i="4" s="1"/>
  <c r="E167" i="4"/>
  <c r="E166" i="4"/>
  <c r="E165" i="4"/>
  <c r="E164" i="4"/>
  <c r="E163" i="4"/>
  <c r="E162" i="4"/>
  <c r="E161" i="4"/>
  <c r="E160" i="4"/>
  <c r="E159" i="4"/>
  <c r="E158" i="4"/>
  <c r="E157" i="4"/>
  <c r="E156" i="4"/>
  <c r="E155" i="4"/>
  <c r="E154" i="4"/>
  <c r="E153" i="4"/>
  <c r="E152" i="4"/>
  <c r="D151" i="4"/>
  <c r="E151" i="4" s="1"/>
  <c r="D150" i="4"/>
  <c r="E150" i="4" s="1"/>
  <c r="D149" i="4"/>
  <c r="E149" i="4" s="1"/>
  <c r="H148" i="4"/>
  <c r="D148" i="4"/>
  <c r="E148" i="4" s="1"/>
  <c r="E145" i="4"/>
  <c r="E144" i="4"/>
  <c r="E143" i="4"/>
  <c r="E142" i="4"/>
  <c r="E141" i="4"/>
  <c r="E140" i="4"/>
  <c r="E139" i="4"/>
  <c r="E138" i="4"/>
  <c r="E137" i="4"/>
  <c r="E136" i="4"/>
  <c r="E135" i="4"/>
  <c r="E134" i="4"/>
  <c r="E133" i="4"/>
  <c r="E132" i="4"/>
  <c r="E131" i="4"/>
  <c r="E130" i="4"/>
  <c r="D129" i="4"/>
  <c r="E129" i="4" s="1"/>
  <c r="D128" i="4"/>
  <c r="E128" i="4" s="1"/>
  <c r="D127" i="4"/>
  <c r="E127" i="4" s="1"/>
  <c r="H126" i="4"/>
  <c r="D126" i="4"/>
  <c r="E126" i="4" s="1"/>
  <c r="E123" i="4"/>
  <c r="E122" i="4"/>
  <c r="E121" i="4"/>
  <c r="E120" i="4"/>
  <c r="E119" i="4"/>
  <c r="E118" i="4"/>
  <c r="E117" i="4"/>
  <c r="E116" i="4"/>
  <c r="E115" i="4"/>
  <c r="E114" i="4"/>
  <c r="E113" i="4"/>
  <c r="E112" i="4"/>
  <c r="E111" i="4"/>
  <c r="E110" i="4"/>
  <c r="E109" i="4"/>
  <c r="E108" i="4"/>
  <c r="D107" i="4"/>
  <c r="E107" i="4" s="1"/>
  <c r="D106" i="4"/>
  <c r="E106" i="4" s="1"/>
  <c r="D105" i="4"/>
  <c r="E105" i="4" s="1"/>
  <c r="H104" i="4"/>
  <c r="D104" i="4"/>
  <c r="E104" i="4" s="1"/>
  <c r="E101" i="4"/>
  <c r="E100" i="4"/>
  <c r="E99" i="4"/>
  <c r="E98" i="4"/>
  <c r="E97" i="4"/>
  <c r="E96" i="4"/>
  <c r="E95" i="4"/>
  <c r="E94" i="4"/>
  <c r="E93" i="4"/>
  <c r="E92" i="4"/>
  <c r="E91" i="4"/>
  <c r="E90" i="4"/>
  <c r="E89" i="4"/>
  <c r="E88" i="4"/>
  <c r="E87" i="4"/>
  <c r="E86" i="4"/>
  <c r="D85" i="4"/>
  <c r="E85" i="4" s="1"/>
  <c r="D84" i="4"/>
  <c r="E84" i="4" s="1"/>
  <c r="D83" i="4"/>
  <c r="E83" i="4" s="1"/>
  <c r="H82" i="4"/>
  <c r="D82" i="4"/>
  <c r="E82" i="4" s="1"/>
  <c r="E79" i="4"/>
  <c r="E78" i="4"/>
  <c r="E77" i="4"/>
  <c r="E76" i="4"/>
  <c r="E75" i="4"/>
  <c r="E74" i="4"/>
  <c r="E73" i="4"/>
  <c r="E72" i="4"/>
  <c r="E71" i="4"/>
  <c r="E70" i="4"/>
  <c r="E69" i="4"/>
  <c r="E68" i="4"/>
  <c r="E67" i="4"/>
  <c r="E66" i="4"/>
  <c r="E65" i="4"/>
  <c r="E64" i="4"/>
  <c r="D63" i="4"/>
  <c r="E63" i="4" s="1"/>
  <c r="H60" i="4"/>
  <c r="E57" i="4"/>
  <c r="E56" i="4"/>
  <c r="E55" i="4"/>
  <c r="E54" i="4"/>
  <c r="E53" i="4"/>
  <c r="E52" i="4"/>
  <c r="E51" i="4"/>
  <c r="E50" i="4"/>
  <c r="E49" i="4"/>
  <c r="E48" i="4"/>
  <c r="E47" i="4"/>
  <c r="E46" i="4"/>
  <c r="E45" i="4"/>
  <c r="E44" i="4"/>
  <c r="E43" i="4"/>
  <c r="E42" i="4"/>
  <c r="D41" i="4"/>
  <c r="E41" i="4" s="1"/>
  <c r="D40" i="4"/>
  <c r="E40" i="4" s="1"/>
  <c r="D39" i="4"/>
  <c r="E39" i="4" s="1"/>
  <c r="D19" i="4"/>
  <c r="D18" i="4"/>
  <c r="D17" i="4"/>
  <c r="H38" i="4"/>
  <c r="D62" i="4" l="1"/>
  <c r="E62" i="4" s="1"/>
  <c r="H81" i="4"/>
  <c r="H125" i="4"/>
  <c r="H169" i="4"/>
  <c r="H213" i="4"/>
  <c r="K38" i="4"/>
  <c r="H103" i="4"/>
  <c r="H147" i="4"/>
  <c r="C2" i="8"/>
  <c r="I5" i="8" s="1"/>
  <c r="I6" i="8" s="1"/>
  <c r="I7" i="8" s="1"/>
  <c r="I8" i="8" s="1"/>
  <c r="I9" i="8" s="1"/>
  <c r="I10" i="8" s="1"/>
  <c r="I11" i="8" s="1"/>
  <c r="I12" i="8" s="1"/>
  <c r="I13" i="8" s="1"/>
  <c r="I14" i="8" s="1"/>
  <c r="I15" i="8" s="1"/>
  <c r="I16" i="8" s="1"/>
  <c r="I17" i="8" s="1"/>
  <c r="I18" i="8" s="1"/>
  <c r="I19" i="8" s="1"/>
  <c r="I20" i="8" s="1"/>
  <c r="I21" i="8" s="1"/>
  <c r="I22" i="8" s="1"/>
  <c r="I23" i="8" s="1"/>
  <c r="I24" i="8" s="1"/>
  <c r="I25" i="8" s="1"/>
  <c r="I26" i="8" s="1"/>
  <c r="I27" i="8" s="1"/>
  <c r="I28" i="8" s="1"/>
  <c r="I29" i="8" s="1"/>
  <c r="I30" i="8" s="1"/>
  <c r="I31" i="8" s="1"/>
  <c r="I32" i="8" s="1"/>
  <c r="I33" i="8" s="1"/>
  <c r="I34" i="8" s="1"/>
  <c r="I35" i="8" s="1"/>
  <c r="I36" i="8" s="1"/>
  <c r="I37" i="8" s="1"/>
  <c r="I38" i="8" s="1"/>
  <c r="I39" i="8" s="1"/>
  <c r="I40" i="8" s="1"/>
  <c r="I41" i="8" s="1"/>
  <c r="I42" i="8" s="1"/>
  <c r="I43" i="8" s="1"/>
  <c r="I44" i="8" s="1"/>
  <c r="I45" i="8" s="1"/>
  <c r="I46" i="8" s="1"/>
  <c r="I47" i="8" s="1"/>
  <c r="I48" i="8" s="1"/>
  <c r="I49" i="8" s="1"/>
  <c r="I50" i="8" s="1"/>
  <c r="I51" i="8" s="1"/>
  <c r="I52" i="8" s="1"/>
  <c r="I53" i="8" s="1"/>
  <c r="I54" i="8" s="1"/>
  <c r="I55" i="8" s="1"/>
  <c r="I56" i="8" s="1"/>
  <c r="I57" i="8" s="1"/>
  <c r="I58" i="8" s="1"/>
  <c r="I59" i="8" s="1"/>
  <c r="I60" i="8" s="1"/>
  <c r="I61" i="8" s="1"/>
  <c r="I62" i="8" s="1"/>
  <c r="I63" i="8" s="1"/>
  <c r="I64" i="8" s="1"/>
  <c r="I65" i="8" s="1"/>
  <c r="I66" i="8" s="1"/>
  <c r="I67" i="8" s="1"/>
  <c r="I68" i="8" s="1"/>
  <c r="I69" i="8" s="1"/>
  <c r="I70" i="8" s="1"/>
  <c r="I71" i="8" s="1"/>
  <c r="I72" i="8" s="1"/>
  <c r="I73" i="8" s="1"/>
  <c r="I74" i="8" s="1"/>
  <c r="I75" i="8" s="1"/>
  <c r="I76" i="8" s="1"/>
  <c r="I77" i="8" s="1"/>
  <c r="I78" i="8" s="1"/>
  <c r="I79" i="8" s="1"/>
  <c r="I80" i="8" s="1"/>
  <c r="I81" i="8" s="1"/>
  <c r="I82" i="8" s="1"/>
  <c r="I83" i="8" s="1"/>
  <c r="I84" i="8" s="1"/>
  <c r="I85" i="8" s="1"/>
  <c r="I86" i="8" s="1"/>
  <c r="I87" i="8" s="1"/>
  <c r="I88" i="8" s="1"/>
  <c r="I89" i="8" s="1"/>
  <c r="I90" i="8" s="1"/>
  <c r="I91" i="8" s="1"/>
  <c r="I92" i="8" s="1"/>
  <c r="I93" i="8" s="1"/>
  <c r="I94" i="8" s="1"/>
  <c r="I95" i="8" s="1"/>
  <c r="I96" i="8" s="1"/>
  <c r="I97" i="8" s="1"/>
  <c r="I98" i="8" s="1"/>
  <c r="I99" i="8" s="1"/>
  <c r="I100" i="8" s="1"/>
  <c r="I101" i="8" s="1"/>
  <c r="I102" i="8" s="1"/>
  <c r="I103" i="8" s="1"/>
  <c r="T4" i="8"/>
  <c r="U4" i="8"/>
  <c r="B109" i="8"/>
  <c r="C109" i="8" s="1"/>
  <c r="B113" i="8"/>
  <c r="C113" i="8" s="1"/>
  <c r="B110" i="8"/>
  <c r="C110" i="8" s="1"/>
  <c r="B114" i="8"/>
  <c r="C114" i="8" s="1"/>
  <c r="B111" i="8"/>
  <c r="C111" i="8" s="1"/>
  <c r="B115" i="8"/>
  <c r="C115" i="8" s="1"/>
  <c r="B112" i="8"/>
  <c r="C112" i="8" s="1"/>
  <c r="B116" i="8"/>
  <c r="C116" i="8" s="1"/>
  <c r="B99" i="8"/>
  <c r="C99" i="8" s="1"/>
  <c r="B103" i="8"/>
  <c r="C103" i="8" s="1"/>
  <c r="B100" i="8"/>
  <c r="C100" i="8" s="1"/>
  <c r="B104" i="8"/>
  <c r="C104" i="8" s="1"/>
  <c r="B101" i="8"/>
  <c r="C101" i="8" s="1"/>
  <c r="B105" i="8"/>
  <c r="C105" i="8" s="1"/>
  <c r="B102" i="8"/>
  <c r="C102" i="8" s="1"/>
  <c r="B106" i="8"/>
  <c r="C106" i="8" s="1"/>
  <c r="B89" i="8"/>
  <c r="C89" i="8" s="1"/>
  <c r="B93" i="8"/>
  <c r="C93" i="8" s="1"/>
  <c r="B90" i="8"/>
  <c r="C90" i="8" s="1"/>
  <c r="B94" i="8"/>
  <c r="C94" i="8" s="1"/>
  <c r="B91" i="8"/>
  <c r="C91" i="8" s="1"/>
  <c r="B95" i="8"/>
  <c r="C95" i="8" s="1"/>
  <c r="B92" i="8"/>
  <c r="C92" i="8" s="1"/>
  <c r="B96" i="8"/>
  <c r="C96" i="8" s="1"/>
  <c r="B79" i="8"/>
  <c r="C79" i="8" s="1"/>
  <c r="B83" i="8"/>
  <c r="C83" i="8" s="1"/>
  <c r="B80" i="8"/>
  <c r="C80" i="8" s="1"/>
  <c r="B84" i="8"/>
  <c r="C84" i="8" s="1"/>
  <c r="B81" i="8"/>
  <c r="C81" i="8" s="1"/>
  <c r="B85" i="8"/>
  <c r="C85" i="8" s="1"/>
  <c r="B82" i="8"/>
  <c r="C82" i="8" s="1"/>
  <c r="B69" i="8"/>
  <c r="C69" i="8" s="1"/>
  <c r="B73" i="8"/>
  <c r="C73" i="8" s="1"/>
  <c r="B70" i="8"/>
  <c r="C70" i="8" s="1"/>
  <c r="B74" i="8"/>
  <c r="C74" i="8" s="1"/>
  <c r="B71" i="8"/>
  <c r="C71" i="8" s="1"/>
  <c r="B75" i="8"/>
  <c r="C75" i="8" s="1"/>
  <c r="B72" i="8"/>
  <c r="C72" i="8" s="1"/>
  <c r="B76" i="8"/>
  <c r="C76" i="8" s="1"/>
  <c r="B59" i="8"/>
  <c r="C59" i="8" s="1"/>
  <c r="B63" i="8"/>
  <c r="C63" i="8" s="1"/>
  <c r="B60" i="8"/>
  <c r="C60" i="8" s="1"/>
  <c r="B64" i="8"/>
  <c r="C64" i="8" s="1"/>
  <c r="B61" i="8"/>
  <c r="C61" i="8" s="1"/>
  <c r="B65" i="8"/>
  <c r="C65" i="8" s="1"/>
  <c r="B62" i="8"/>
  <c r="C62" i="8" s="1"/>
  <c r="B66" i="8"/>
  <c r="C66" i="8" s="1"/>
  <c r="B49" i="8"/>
  <c r="C49" i="8" s="1"/>
  <c r="B53" i="8"/>
  <c r="C53" i="8" s="1"/>
  <c r="B50" i="8"/>
  <c r="C50" i="8" s="1"/>
  <c r="B54" i="8"/>
  <c r="C54" i="8" s="1"/>
  <c r="B51" i="8"/>
  <c r="C51" i="8" s="1"/>
  <c r="B55" i="8"/>
  <c r="C55" i="8" s="1"/>
  <c r="B52" i="8"/>
  <c r="C52" i="8" s="1"/>
  <c r="B56" i="8"/>
  <c r="C56" i="8" s="1"/>
  <c r="B43" i="8"/>
  <c r="C43" i="8" s="1"/>
  <c r="B44" i="8"/>
  <c r="C44" i="8" s="1"/>
  <c r="B41" i="8"/>
  <c r="C41" i="8" s="1"/>
  <c r="B45" i="8"/>
  <c r="C45" i="8" s="1"/>
  <c r="B42" i="8"/>
  <c r="C42" i="8" s="1"/>
  <c r="B33" i="8"/>
  <c r="C33" i="8" s="1"/>
  <c r="B30" i="8"/>
  <c r="C30" i="8" s="1"/>
  <c r="B34" i="8"/>
  <c r="C34" i="8" s="1"/>
  <c r="B31" i="8"/>
  <c r="C31" i="8" s="1"/>
  <c r="B35" i="8"/>
  <c r="C35" i="8" s="1"/>
  <c r="B32" i="8"/>
  <c r="C32" i="8" s="1"/>
  <c r="B23" i="8"/>
  <c r="C23" i="8" s="1"/>
  <c r="B24" i="8"/>
  <c r="C24" i="8" s="1"/>
  <c r="B21" i="8"/>
  <c r="C21" i="8" s="1"/>
  <c r="B25" i="8"/>
  <c r="C25" i="8" s="1"/>
  <c r="B22" i="8"/>
  <c r="C22" i="8" s="1"/>
  <c r="Q5" i="8"/>
  <c r="Q6" i="8" s="1"/>
  <c r="B78" i="8"/>
  <c r="B38" i="8"/>
  <c r="B39" i="8" s="1"/>
  <c r="B40" i="8" s="1"/>
  <c r="B28" i="8"/>
  <c r="B29" i="8" s="1"/>
  <c r="B18" i="8"/>
  <c r="C18" i="8" s="1"/>
  <c r="C26" i="8"/>
  <c r="C14" i="8"/>
  <c r="H191" i="4"/>
  <c r="H37" i="4"/>
  <c r="AC3" i="4"/>
  <c r="H16" i="4"/>
  <c r="J3" i="4"/>
  <c r="J2" i="4"/>
  <c r="H11" i="4"/>
  <c r="H10" i="4"/>
  <c r="H9" i="4"/>
  <c r="H8" i="4"/>
  <c r="H7" i="4"/>
  <c r="H6" i="4"/>
  <c r="H5" i="4"/>
  <c r="H4" i="4"/>
  <c r="H3" i="4"/>
  <c r="H2" i="4"/>
  <c r="G11" i="4"/>
  <c r="F11" i="4"/>
  <c r="E11" i="4"/>
  <c r="D11" i="4"/>
  <c r="G10" i="4"/>
  <c r="F10" i="4"/>
  <c r="E10" i="4"/>
  <c r="D10" i="4"/>
  <c r="G9" i="4"/>
  <c r="F9" i="4"/>
  <c r="E9" i="4"/>
  <c r="D9" i="4"/>
  <c r="G8" i="4"/>
  <c r="F8" i="4"/>
  <c r="E8" i="4"/>
  <c r="D8" i="4"/>
  <c r="G7" i="4"/>
  <c r="F7" i="4"/>
  <c r="E7" i="4"/>
  <c r="D7" i="4"/>
  <c r="G6" i="4"/>
  <c r="F6" i="4"/>
  <c r="E6" i="4"/>
  <c r="D6" i="4"/>
  <c r="G5" i="4"/>
  <c r="F5" i="4"/>
  <c r="E5" i="4"/>
  <c r="D5" i="4"/>
  <c r="G4" i="4"/>
  <c r="F4" i="4"/>
  <c r="E4" i="4"/>
  <c r="D4" i="4"/>
  <c r="G3" i="4"/>
  <c r="F3" i="4"/>
  <c r="E3" i="4"/>
  <c r="D3" i="4"/>
  <c r="G2" i="4"/>
  <c r="F2" i="4"/>
  <c r="E2" i="4"/>
  <c r="E19" i="4"/>
  <c r="E35" i="4"/>
  <c r="E34" i="4"/>
  <c r="E33" i="4"/>
  <c r="E32" i="4"/>
  <c r="E31" i="4"/>
  <c r="E30" i="4"/>
  <c r="E29" i="4"/>
  <c r="E28" i="4"/>
  <c r="E27" i="4"/>
  <c r="E26" i="4"/>
  <c r="E25" i="4"/>
  <c r="E24" i="4"/>
  <c r="E23" i="4"/>
  <c r="E22" i="4"/>
  <c r="E21" i="4"/>
  <c r="E20" i="4"/>
  <c r="E17" i="4"/>
  <c r="D61" i="4"/>
  <c r="E61" i="4" s="1"/>
  <c r="D60" i="4"/>
  <c r="E60" i="4" s="1"/>
  <c r="G28" i="7"/>
  <c r="G27" i="7"/>
  <c r="G26" i="7"/>
  <c r="G25" i="7"/>
  <c r="G24" i="7"/>
  <c r="G23" i="7"/>
  <c r="G22" i="7"/>
  <c r="G21" i="7"/>
  <c r="G20" i="7"/>
  <c r="G19" i="7"/>
  <c r="G18" i="7"/>
  <c r="G17" i="7"/>
  <c r="G16" i="7"/>
  <c r="G15" i="7"/>
  <c r="F5" i="7"/>
  <c r="F4" i="7"/>
  <c r="F3" i="7"/>
  <c r="H59" i="4" l="1"/>
  <c r="H64" i="4" s="1"/>
  <c r="H193" i="4"/>
  <c r="H194" i="4" s="1"/>
  <c r="H42" i="4"/>
  <c r="H196" i="4"/>
  <c r="H108" i="4"/>
  <c r="H86" i="4"/>
  <c r="H174" i="4"/>
  <c r="H130" i="4"/>
  <c r="H152" i="4"/>
  <c r="H218" i="4"/>
  <c r="D16" i="4"/>
  <c r="E16" i="4" s="1"/>
  <c r="Q7" i="8"/>
  <c r="Q8" i="8" s="1"/>
  <c r="Q9" i="8"/>
  <c r="Q10" i="8" s="1"/>
  <c r="B19" i="8"/>
  <c r="E18" i="4"/>
  <c r="G29" i="7"/>
  <c r="H15" i="4" l="1"/>
  <c r="Q11" i="8"/>
  <c r="B20" i="8"/>
  <c r="C19" i="8"/>
  <c r="D2" i="4"/>
  <c r="J4" i="4" s="1"/>
  <c r="H20" i="4" l="1"/>
  <c r="L15" i="4"/>
  <c r="Q12" i="8"/>
  <c r="C20" i="8"/>
  <c r="Q13" i="8" l="1"/>
  <c r="N5" i="8"/>
  <c r="N6" i="8" s="1"/>
  <c r="N7" i="8" s="1"/>
  <c r="N8" i="8" s="1"/>
  <c r="N9" i="8" s="1"/>
  <c r="N10" i="8" s="1"/>
  <c r="N11" i="8" s="1"/>
  <c r="N12" i="8" s="1"/>
  <c r="N13" i="8" s="1"/>
  <c r="C27" i="8"/>
  <c r="S5" i="8" l="1"/>
  <c r="Z5" i="8"/>
  <c r="C28" i="8"/>
  <c r="Z6" i="8" l="1"/>
  <c r="AF5" i="8"/>
  <c r="S6" i="8"/>
  <c r="T5" i="8"/>
  <c r="U5" i="8"/>
  <c r="C29" i="8"/>
  <c r="C37" i="8" s="1"/>
  <c r="S7" i="8" l="1"/>
  <c r="T6" i="8"/>
  <c r="U6" i="8"/>
  <c r="AF6" i="8"/>
  <c r="Z7" i="8"/>
  <c r="C38" i="8"/>
  <c r="S8" i="8" l="1"/>
  <c r="T7" i="8"/>
  <c r="U7" i="8"/>
  <c r="Z8" i="8"/>
  <c r="AF7" i="8"/>
  <c r="C39" i="8"/>
  <c r="AL18" i="4"/>
  <c r="AN18" i="4" s="1"/>
  <c r="AK18" i="4"/>
  <c r="AI18" i="4"/>
  <c r="AH18" i="4"/>
  <c r="AM16" i="4"/>
  <c r="AM15" i="4" s="1"/>
  <c r="AJ16" i="4"/>
  <c r="AJ17" i="4" s="1"/>
  <c r="AG16" i="4"/>
  <c r="AL14" i="4"/>
  <c r="AN14" i="4" s="1"/>
  <c r="AK14" i="4"/>
  <c r="AI14" i="4"/>
  <c r="AH14" i="4"/>
  <c r="AM12" i="4"/>
  <c r="AM13" i="4" s="1"/>
  <c r="AJ12" i="4"/>
  <c r="AJ13" i="4" s="1"/>
  <c r="AG12" i="4"/>
  <c r="AG13" i="4" s="1"/>
  <c r="AL10" i="4"/>
  <c r="AN10" i="4" s="1"/>
  <c r="AK10" i="4"/>
  <c r="H149" i="4" s="1"/>
  <c r="H150" i="4" s="1"/>
  <c r="AI10" i="4"/>
  <c r="AH10" i="4"/>
  <c r="AM8" i="4"/>
  <c r="AM7" i="4" s="1"/>
  <c r="AJ8" i="4"/>
  <c r="AJ9" i="4" s="1"/>
  <c r="AG8" i="4"/>
  <c r="AG7" i="4" s="1"/>
  <c r="AL6" i="4"/>
  <c r="AN6" i="4" s="1"/>
  <c r="AK6" i="4"/>
  <c r="AI6" i="4"/>
  <c r="AH6" i="4"/>
  <c r="AL5" i="4"/>
  <c r="AN5" i="4" s="1"/>
  <c r="AK5" i="4"/>
  <c r="AI5" i="4"/>
  <c r="AH5" i="4"/>
  <c r="AL4" i="4"/>
  <c r="AN4" i="4" s="1"/>
  <c r="AK4" i="4"/>
  <c r="AI4" i="4"/>
  <c r="AH4" i="4"/>
  <c r="AC4" i="4"/>
  <c r="H12" i="4"/>
  <c r="G12" i="4"/>
  <c r="J7" i="4" s="1"/>
  <c r="F12" i="4"/>
  <c r="E12" i="4"/>
  <c r="D12" i="4"/>
  <c r="H127" i="4" l="1"/>
  <c r="H128" i="4" s="1"/>
  <c r="H129" i="4" s="1"/>
  <c r="AJ15" i="4"/>
  <c r="H17" i="4"/>
  <c r="H18" i="4" s="1"/>
  <c r="H19" i="4" s="1"/>
  <c r="AI16" i="4"/>
  <c r="C40" i="8"/>
  <c r="C77" i="8" s="1"/>
  <c r="C78" i="8" s="1"/>
  <c r="J6" i="8" s="1"/>
  <c r="H151" i="4"/>
  <c r="H195" i="4"/>
  <c r="J5" i="4"/>
  <c r="S9" i="8"/>
  <c r="T8" i="8"/>
  <c r="U8" i="8"/>
  <c r="AF8" i="8"/>
  <c r="Z9" i="8"/>
  <c r="AG15" i="4"/>
  <c r="AI15" i="4" s="1"/>
  <c r="AK8" i="4"/>
  <c r="H215" i="4" s="1"/>
  <c r="H216" i="4" s="1"/>
  <c r="H217" i="4" s="1"/>
  <c r="AG11" i="4"/>
  <c r="AL8" i="4"/>
  <c r="AJ11" i="4"/>
  <c r="AJ7" i="4"/>
  <c r="AH7" i="4" s="1"/>
  <c r="AH8" i="4"/>
  <c r="AN8" i="4"/>
  <c r="AM11" i="4"/>
  <c r="AH15" i="4"/>
  <c r="AH16" i="4"/>
  <c r="AL15" i="4"/>
  <c r="AN15" i="4" s="1"/>
  <c r="AI13" i="4"/>
  <c r="AH13" i="4"/>
  <c r="AK13" i="4"/>
  <c r="AL13" i="4"/>
  <c r="AN13" i="4" s="1"/>
  <c r="AK11" i="4"/>
  <c r="H83" i="4" s="1"/>
  <c r="H84" i="4" s="1"/>
  <c r="H85" i="4" s="1"/>
  <c r="AK12" i="4"/>
  <c r="H171" i="4" s="1"/>
  <c r="H172" i="4" s="1"/>
  <c r="H173" i="4" s="1"/>
  <c r="AI8" i="4"/>
  <c r="AM9" i="4"/>
  <c r="AL9" i="4" s="1"/>
  <c r="AH12" i="4"/>
  <c r="AL12" i="4"/>
  <c r="AN12" i="4" s="1"/>
  <c r="AK15" i="4"/>
  <c r="AK16" i="4"/>
  <c r="AG17" i="4"/>
  <c r="AI12" i="4"/>
  <c r="AL16" i="4"/>
  <c r="AN16" i="4" s="1"/>
  <c r="AM17" i="4"/>
  <c r="AL17" i="4" s="1"/>
  <c r="AG9" i="4"/>
  <c r="H22" i="4" l="1"/>
  <c r="H24" i="4"/>
  <c r="H39" i="4"/>
  <c r="H40" i="4" s="1"/>
  <c r="H41" i="4" s="1"/>
  <c r="J12" i="8"/>
  <c r="J14" i="8"/>
  <c r="J13" i="8"/>
  <c r="J8" i="8"/>
  <c r="J80" i="8"/>
  <c r="L80" i="8" s="1"/>
  <c r="J4" i="8"/>
  <c r="L4" i="8" s="1"/>
  <c r="J5" i="8"/>
  <c r="J7" i="8"/>
  <c r="J10" i="8"/>
  <c r="J11" i="8"/>
  <c r="J9" i="8"/>
  <c r="Z10" i="8"/>
  <c r="AF9" i="8"/>
  <c r="S10" i="8"/>
  <c r="J17" i="8"/>
  <c r="L17" i="8" s="1"/>
  <c r="J90" i="8"/>
  <c r="L90" i="8" s="1"/>
  <c r="J69" i="8"/>
  <c r="L69" i="8" s="1"/>
  <c r="J53" i="8"/>
  <c r="L53" i="8" s="1"/>
  <c r="J54" i="8"/>
  <c r="L54" i="8" s="1"/>
  <c r="J58" i="8"/>
  <c r="L58" i="8" s="1"/>
  <c r="J83" i="8"/>
  <c r="L83" i="8" s="1"/>
  <c r="J21" i="8"/>
  <c r="L21" i="8" s="1"/>
  <c r="J45" i="8"/>
  <c r="L45" i="8" s="1"/>
  <c r="J78" i="8"/>
  <c r="L78" i="8" s="1"/>
  <c r="J52" i="8"/>
  <c r="L52" i="8" s="1"/>
  <c r="J51" i="8"/>
  <c r="L51" i="8" s="1"/>
  <c r="J46" i="8"/>
  <c r="L46" i="8" s="1"/>
  <c r="J101" i="8"/>
  <c r="L101" i="8" s="1"/>
  <c r="J20" i="8"/>
  <c r="L20" i="8" s="1"/>
  <c r="J74" i="8"/>
  <c r="L74" i="8" s="1"/>
  <c r="J27" i="8"/>
  <c r="L27" i="8" s="1"/>
  <c r="J72" i="8"/>
  <c r="L72" i="8" s="1"/>
  <c r="J16" i="8"/>
  <c r="J31" i="8"/>
  <c r="L31" i="8" s="1"/>
  <c r="J56" i="8"/>
  <c r="L56" i="8" s="1"/>
  <c r="J44" i="8"/>
  <c r="L44" i="8" s="1"/>
  <c r="J18" i="8"/>
  <c r="L18" i="8" s="1"/>
  <c r="J76" i="8"/>
  <c r="L76" i="8" s="1"/>
  <c r="J35" i="8"/>
  <c r="L35" i="8" s="1"/>
  <c r="J37" i="8"/>
  <c r="L37" i="8" s="1"/>
  <c r="J60" i="8"/>
  <c r="L60" i="8" s="1"/>
  <c r="J100" i="8"/>
  <c r="L100" i="8" s="1"/>
  <c r="J92" i="8"/>
  <c r="L92" i="8" s="1"/>
  <c r="J15" i="8"/>
  <c r="J99" i="8"/>
  <c r="L99" i="8" s="1"/>
  <c r="J66" i="8"/>
  <c r="L66" i="8" s="1"/>
  <c r="J93" i="8"/>
  <c r="L93" i="8" s="1"/>
  <c r="J33" i="8"/>
  <c r="L33" i="8" s="1"/>
  <c r="J19" i="8"/>
  <c r="L19" i="8" s="1"/>
  <c r="J70" i="8"/>
  <c r="L70" i="8" s="1"/>
  <c r="J22" i="8"/>
  <c r="L22" i="8" s="1"/>
  <c r="J43" i="8"/>
  <c r="L43" i="8" s="1"/>
  <c r="J25" i="8"/>
  <c r="L25" i="8" s="1"/>
  <c r="J63" i="8"/>
  <c r="L63" i="8" s="1"/>
  <c r="J55" i="8"/>
  <c r="L55" i="8" s="1"/>
  <c r="J38" i="8"/>
  <c r="L38" i="8" s="1"/>
  <c r="J36" i="8"/>
  <c r="L36" i="8" s="1"/>
  <c r="J75" i="8"/>
  <c r="L75" i="8" s="1"/>
  <c r="J86" i="8"/>
  <c r="L86" i="8" s="1"/>
  <c r="J79" i="8"/>
  <c r="L79" i="8" s="1"/>
  <c r="J28" i="8"/>
  <c r="L28" i="8" s="1"/>
  <c r="J87" i="8"/>
  <c r="L87" i="8" s="1"/>
  <c r="J102" i="8"/>
  <c r="L102" i="8" s="1"/>
  <c r="J91" i="8"/>
  <c r="L91" i="8" s="1"/>
  <c r="J68" i="8"/>
  <c r="L68" i="8" s="1"/>
  <c r="J30" i="8"/>
  <c r="L30" i="8" s="1"/>
  <c r="J88" i="8"/>
  <c r="L88" i="8" s="1"/>
  <c r="J71" i="8"/>
  <c r="L71" i="8" s="1"/>
  <c r="J24" i="8"/>
  <c r="L24" i="8" s="1"/>
  <c r="J94" i="8"/>
  <c r="L94" i="8" s="1"/>
  <c r="J49" i="8"/>
  <c r="L49" i="8" s="1"/>
  <c r="J97" i="8"/>
  <c r="L97" i="8" s="1"/>
  <c r="J40" i="8"/>
  <c r="L40" i="8" s="1"/>
  <c r="J41" i="8"/>
  <c r="L41" i="8" s="1"/>
  <c r="J47" i="8"/>
  <c r="L47" i="8" s="1"/>
  <c r="J26" i="8"/>
  <c r="L26" i="8" s="1"/>
  <c r="J73" i="8"/>
  <c r="L73" i="8" s="1"/>
  <c r="J57" i="8"/>
  <c r="L57" i="8" s="1"/>
  <c r="J62" i="8"/>
  <c r="L62" i="8" s="1"/>
  <c r="J103" i="8"/>
  <c r="L103" i="8" s="1"/>
  <c r="J48" i="8"/>
  <c r="L48" i="8" s="1"/>
  <c r="J85" i="8"/>
  <c r="L85" i="8" s="1"/>
  <c r="J98" i="8"/>
  <c r="L98" i="8" s="1"/>
  <c r="J59" i="8"/>
  <c r="L59" i="8" s="1"/>
  <c r="J23" i="8"/>
  <c r="L23" i="8" s="1"/>
  <c r="J77" i="8"/>
  <c r="L77" i="8" s="1"/>
  <c r="J64" i="8"/>
  <c r="L64" i="8" s="1"/>
  <c r="J67" i="8"/>
  <c r="L67" i="8" s="1"/>
  <c r="J81" i="8"/>
  <c r="L81" i="8" s="1"/>
  <c r="J29" i="8"/>
  <c r="L29" i="8" s="1"/>
  <c r="J65" i="8"/>
  <c r="L65" i="8" s="1"/>
  <c r="J84" i="8"/>
  <c r="L84" i="8" s="1"/>
  <c r="J39" i="8"/>
  <c r="L39" i="8" s="1"/>
  <c r="J95" i="8"/>
  <c r="L95" i="8" s="1"/>
  <c r="J50" i="8"/>
  <c r="L50" i="8" s="1"/>
  <c r="J96" i="8"/>
  <c r="L96" i="8" s="1"/>
  <c r="J32" i="8"/>
  <c r="L32" i="8" s="1"/>
  <c r="J82" i="8"/>
  <c r="L82" i="8" s="1"/>
  <c r="J61" i="8"/>
  <c r="L61" i="8" s="1"/>
  <c r="J89" i="8"/>
  <c r="L89" i="8" s="1"/>
  <c r="J34" i="8"/>
  <c r="L34" i="8" s="1"/>
  <c r="J42" i="8"/>
  <c r="L42" i="8" s="1"/>
  <c r="H23" i="4"/>
  <c r="H44" i="4"/>
  <c r="AK9" i="4"/>
  <c r="H105" i="4" s="1"/>
  <c r="H106" i="4" s="1"/>
  <c r="H107" i="4" s="1"/>
  <c r="AK7" i="4"/>
  <c r="H61" i="4" s="1"/>
  <c r="H62" i="4" s="1"/>
  <c r="H63" i="4" s="1"/>
  <c r="AL7" i="4"/>
  <c r="AN7" i="4" s="1"/>
  <c r="AL11" i="4"/>
  <c r="AN11" i="4" s="1"/>
  <c r="AI11" i="4"/>
  <c r="AI7" i="4"/>
  <c r="AH11" i="4"/>
  <c r="AH9" i="4"/>
  <c r="AI9" i="4"/>
  <c r="AI17" i="4"/>
  <c r="AH17" i="4"/>
  <c r="AN17" i="4"/>
  <c r="AN9" i="4"/>
  <c r="AK17" i="4"/>
  <c r="H46" i="4" l="1"/>
  <c r="H68" i="4" s="1"/>
  <c r="H90" i="4" s="1"/>
  <c r="H112" i="4" s="1"/>
  <c r="H134" i="4" s="1"/>
  <c r="H156" i="4" s="1"/>
  <c r="H178" i="4" s="1"/>
  <c r="H200" i="4" s="1"/>
  <c r="H222" i="4" s="1"/>
  <c r="H66" i="4"/>
  <c r="L5" i="8"/>
  <c r="L6" i="8" s="1"/>
  <c r="L7" i="8" s="1"/>
  <c r="S11" i="8"/>
  <c r="AF10" i="8"/>
  <c r="Z11" i="8"/>
  <c r="H67" i="4"/>
  <c r="H88" i="4"/>
  <c r="H45" i="4"/>
  <c r="L8" i="8" l="1"/>
  <c r="L9" i="8" s="1"/>
  <c r="AF11" i="8"/>
  <c r="Z12" i="8"/>
  <c r="S12" i="8"/>
  <c r="H89" i="4"/>
  <c r="H110" i="4"/>
  <c r="L10" i="8" l="1"/>
  <c r="L11" i="8" s="1"/>
  <c r="U10" i="8"/>
  <c r="U9" i="8"/>
  <c r="T9" i="8"/>
  <c r="S13" i="8"/>
  <c r="Z13" i="8"/>
  <c r="AF12" i="8"/>
  <c r="H111" i="4"/>
  <c r="H132" i="4"/>
  <c r="L12" i="8" l="1"/>
  <c r="Z14" i="8"/>
  <c r="AF13" i="8"/>
  <c r="S14" i="8"/>
  <c r="H133" i="4"/>
  <c r="H154" i="4"/>
  <c r="L13" i="8" l="1"/>
  <c r="L14" i="8" s="1"/>
  <c r="L15" i="8" s="1"/>
  <c r="T11" i="8"/>
  <c r="L16" i="8"/>
  <c r="S15" i="8"/>
  <c r="Z15" i="8"/>
  <c r="AF14" i="8"/>
  <c r="H155" i="4"/>
  <c r="H176" i="4"/>
  <c r="U14" i="8" l="1"/>
  <c r="T14" i="8"/>
  <c r="U12" i="8"/>
  <c r="U11" i="8"/>
  <c r="T12" i="8"/>
  <c r="T10" i="8"/>
  <c r="U13" i="8"/>
  <c r="T13" i="8"/>
  <c r="S16" i="8"/>
  <c r="T15" i="8"/>
  <c r="U15" i="8"/>
  <c r="AF15" i="8"/>
  <c r="Z16" i="8"/>
  <c r="H177" i="4"/>
  <c r="H198" i="4"/>
  <c r="AF16" i="8" l="1"/>
  <c r="Z17" i="8"/>
  <c r="S17" i="8"/>
  <c r="U16" i="8"/>
  <c r="T16" i="8"/>
  <c r="H199" i="4"/>
  <c r="H220" i="4"/>
  <c r="H221" i="4" s="1"/>
  <c r="S18" i="8" l="1"/>
  <c r="U17" i="8"/>
  <c r="T17" i="8"/>
  <c r="Z18" i="8"/>
  <c r="AF17" i="8"/>
  <c r="S19" i="8" l="1"/>
  <c r="U18" i="8"/>
  <c r="T18" i="8"/>
  <c r="Z19" i="8"/>
  <c r="AF18" i="8"/>
  <c r="Z20" i="8" l="1"/>
  <c r="AF19" i="8"/>
  <c r="S20" i="8"/>
  <c r="U19" i="8"/>
  <c r="T19" i="8"/>
  <c r="S21" i="8" l="1"/>
  <c r="U20" i="8"/>
  <c r="T20" i="8"/>
  <c r="AF20" i="8"/>
  <c r="Z21" i="8"/>
  <c r="Z22" i="8" l="1"/>
  <c r="AF21" i="8"/>
  <c r="S22" i="8"/>
  <c r="T21" i="8"/>
  <c r="U21" i="8"/>
  <c r="S23" i="8" l="1"/>
  <c r="T22" i="8"/>
  <c r="U22" i="8"/>
  <c r="AF22" i="8"/>
  <c r="X22" i="8"/>
  <c r="Z23" i="8"/>
  <c r="AB22" i="8" l="1"/>
  <c r="S24" i="8"/>
  <c r="T23" i="8"/>
  <c r="U23" i="8"/>
  <c r="Z24" i="8"/>
  <c r="AF23" i="8"/>
  <c r="X23" i="8"/>
  <c r="AB23" i="8" l="1"/>
  <c r="S25" i="8"/>
  <c r="U24" i="8"/>
  <c r="T24" i="8"/>
  <c r="Z25" i="8"/>
  <c r="AF24" i="8"/>
  <c r="X24" i="8"/>
  <c r="AF25" i="8" l="1"/>
  <c r="X25" i="8"/>
  <c r="Z26" i="8"/>
  <c r="AB24" i="8"/>
  <c r="S26" i="8"/>
  <c r="U25" i="8"/>
  <c r="T25" i="8"/>
  <c r="AF26" i="8" l="1"/>
  <c r="Z27" i="8"/>
  <c r="X26" i="8"/>
  <c r="S27" i="8"/>
  <c r="T26" i="8"/>
  <c r="U26" i="8"/>
  <c r="AB25" i="8"/>
  <c r="S28" i="8" l="1"/>
  <c r="U27" i="8"/>
  <c r="T27" i="8"/>
  <c r="AB26" i="8"/>
  <c r="AF27" i="8"/>
  <c r="X27" i="8"/>
  <c r="Z28" i="8"/>
  <c r="AF28" i="8" l="1"/>
  <c r="X28" i="8"/>
  <c r="Z29" i="8"/>
  <c r="AB27" i="8"/>
  <c r="S29" i="8"/>
  <c r="U28" i="8"/>
  <c r="T28" i="8"/>
  <c r="X29" i="8" l="1"/>
  <c r="Z30" i="8"/>
  <c r="AF29" i="8"/>
  <c r="S30" i="8"/>
  <c r="U29" i="8"/>
  <c r="T29" i="8"/>
  <c r="AB28" i="8"/>
  <c r="S31" i="8" l="1"/>
  <c r="U30" i="8"/>
  <c r="T30" i="8"/>
  <c r="X30" i="8"/>
  <c r="Z31" i="8"/>
  <c r="AF30" i="8"/>
  <c r="AB29" i="8"/>
  <c r="AB30" i="8" l="1"/>
  <c r="Z32" i="8"/>
  <c r="X31" i="8"/>
  <c r="AF31" i="8"/>
  <c r="S32" i="8"/>
  <c r="U31" i="8"/>
  <c r="T31" i="8"/>
  <c r="AB31" i="8" l="1"/>
  <c r="Z33" i="8"/>
  <c r="AF32" i="8"/>
  <c r="X32" i="8"/>
  <c r="S33" i="8"/>
  <c r="T32" i="8"/>
  <c r="U32" i="8"/>
  <c r="Z34" i="8" l="1"/>
  <c r="AF33" i="8"/>
  <c r="X33" i="8"/>
  <c r="S34" i="8"/>
  <c r="U33" i="8"/>
  <c r="T33" i="8"/>
  <c r="AB32" i="8"/>
  <c r="S35" i="8" l="1"/>
  <c r="U34" i="8"/>
  <c r="T34" i="8"/>
  <c r="AB33" i="8"/>
  <c r="X34" i="8"/>
  <c r="Z35" i="8"/>
  <c r="AF34" i="8"/>
  <c r="AB34" i="8" l="1"/>
  <c r="Z36" i="8"/>
  <c r="X35" i="8"/>
  <c r="AF35" i="8"/>
  <c r="S36" i="8"/>
  <c r="U35" i="8"/>
  <c r="T35" i="8"/>
  <c r="AB35" i="8" l="1"/>
  <c r="Z37" i="8"/>
  <c r="AF36" i="8"/>
  <c r="X36" i="8"/>
  <c r="S37" i="8"/>
  <c r="U36" i="8"/>
  <c r="T36" i="8"/>
  <c r="Z38" i="8" l="1"/>
  <c r="AF37" i="8"/>
  <c r="X37" i="8"/>
  <c r="S38" i="8"/>
  <c r="U37" i="8"/>
  <c r="T37" i="8"/>
  <c r="AB36" i="8"/>
  <c r="S39" i="8" l="1"/>
  <c r="U38" i="8"/>
  <c r="T38" i="8"/>
  <c r="AB37" i="8"/>
  <c r="AF38" i="8"/>
  <c r="X38" i="8"/>
  <c r="Z39" i="8"/>
  <c r="X39" i="8" l="1"/>
  <c r="Z40" i="8"/>
  <c r="AF39" i="8"/>
  <c r="AB38" i="8"/>
  <c r="S40" i="8"/>
  <c r="U39" i="8"/>
  <c r="T39" i="8"/>
  <c r="Z41" i="8" l="1"/>
  <c r="AF40" i="8"/>
  <c r="X40" i="8"/>
  <c r="S41" i="8"/>
  <c r="T40" i="8"/>
  <c r="U40" i="8"/>
  <c r="AB39" i="8"/>
  <c r="S42" i="8" l="1"/>
  <c r="U41" i="8"/>
  <c r="T41" i="8"/>
  <c r="AB40" i="8"/>
  <c r="X41" i="8"/>
  <c r="Z42" i="8"/>
  <c r="AF41" i="8"/>
  <c r="AF42" i="8" l="1"/>
  <c r="X42" i="8"/>
  <c r="Z43" i="8"/>
  <c r="AB41" i="8"/>
  <c r="S43" i="8"/>
  <c r="T42" i="8"/>
  <c r="U42" i="8"/>
  <c r="X43" i="8" l="1"/>
  <c r="Z44" i="8"/>
  <c r="AF43" i="8"/>
  <c r="AB42" i="8"/>
  <c r="S44" i="8"/>
  <c r="U43" i="8"/>
  <c r="T43" i="8"/>
  <c r="S45" i="8" l="1"/>
  <c r="T44" i="8"/>
  <c r="U44" i="8"/>
  <c r="Z45" i="8"/>
  <c r="AF44" i="8"/>
  <c r="X44" i="8"/>
  <c r="AB43" i="8"/>
  <c r="Z46" i="8" l="1"/>
  <c r="AF45" i="8"/>
  <c r="X45" i="8"/>
  <c r="AB44" i="8"/>
  <c r="S46" i="8"/>
  <c r="U45" i="8"/>
  <c r="T45" i="8"/>
  <c r="AB45" i="8" l="1"/>
  <c r="S47" i="8"/>
  <c r="U46" i="8"/>
  <c r="T46" i="8"/>
  <c r="Z47" i="8"/>
  <c r="AF46" i="8"/>
  <c r="X46" i="8"/>
  <c r="S48" i="8" l="1"/>
  <c r="U47" i="8"/>
  <c r="T47" i="8"/>
  <c r="AB46" i="8"/>
  <c r="X47" i="8"/>
  <c r="Z48" i="8"/>
  <c r="AF47" i="8"/>
  <c r="Z49" i="8" l="1"/>
  <c r="AF48" i="8"/>
  <c r="X48" i="8"/>
  <c r="AB47" i="8"/>
  <c r="S49" i="8"/>
  <c r="U48" i="8"/>
  <c r="T48" i="8"/>
  <c r="AB48" i="8" l="1"/>
  <c r="S50" i="8"/>
  <c r="U49" i="8"/>
  <c r="T49" i="8"/>
  <c r="X49" i="8"/>
  <c r="Z50" i="8"/>
  <c r="AF49" i="8"/>
  <c r="S51" i="8" l="1"/>
  <c r="U50" i="8"/>
  <c r="T50" i="8"/>
  <c r="Z51" i="8"/>
  <c r="AF50" i="8"/>
  <c r="X50" i="8"/>
  <c r="AB49" i="8"/>
  <c r="X51" i="8" l="1"/>
  <c r="AF51" i="8"/>
  <c r="Z52" i="8"/>
  <c r="AB50" i="8"/>
  <c r="S52" i="8"/>
  <c r="T51" i="8"/>
  <c r="U51" i="8"/>
  <c r="Z53" i="8" l="1"/>
  <c r="AF52" i="8"/>
  <c r="X52" i="8"/>
  <c r="S53" i="8"/>
  <c r="U52" i="8"/>
  <c r="T52" i="8"/>
  <c r="AB51" i="8"/>
  <c r="S54" i="8" l="1"/>
  <c r="U53" i="8"/>
  <c r="T53" i="8"/>
  <c r="AB52" i="8"/>
  <c r="X53" i="8"/>
  <c r="AF53" i="8"/>
  <c r="Z54" i="8"/>
  <c r="Z55" i="8" l="1"/>
  <c r="AF54" i="8"/>
  <c r="X54" i="8"/>
  <c r="AB53" i="8"/>
  <c r="S55" i="8"/>
  <c r="U54" i="8"/>
  <c r="T54" i="8"/>
  <c r="AB54" i="8" l="1"/>
  <c r="S56" i="8"/>
  <c r="U55" i="8"/>
  <c r="T55" i="8"/>
  <c r="X55" i="8"/>
  <c r="AF55" i="8"/>
  <c r="Z56" i="8"/>
  <c r="S57" i="8" l="1"/>
  <c r="U56" i="8"/>
  <c r="T56" i="8"/>
  <c r="Z57" i="8"/>
  <c r="AF56" i="8"/>
  <c r="X56" i="8"/>
  <c r="AB55" i="8"/>
  <c r="Z58" i="8" l="1"/>
  <c r="AF57" i="8"/>
  <c r="X57" i="8"/>
  <c r="AB56" i="8"/>
  <c r="S58" i="8"/>
  <c r="U57" i="8"/>
  <c r="T57" i="8"/>
  <c r="AB57" i="8" l="1"/>
  <c r="S59" i="8"/>
  <c r="T58" i="8"/>
  <c r="U58" i="8"/>
  <c r="Z59" i="8"/>
  <c r="AF58" i="8"/>
  <c r="X58" i="8"/>
  <c r="S60" i="8" l="1"/>
  <c r="U59" i="8"/>
  <c r="T59" i="8"/>
  <c r="AB58" i="8"/>
  <c r="X59" i="8"/>
  <c r="AF59" i="8"/>
  <c r="Z60" i="8"/>
  <c r="Z61" i="8" l="1"/>
  <c r="AF60" i="8"/>
  <c r="X60" i="8"/>
  <c r="AB59" i="8"/>
  <c r="S61" i="8"/>
  <c r="U60" i="8"/>
  <c r="T60" i="8"/>
  <c r="AB60" i="8" l="1"/>
  <c r="S62" i="8"/>
  <c r="U61" i="8"/>
  <c r="T61" i="8"/>
  <c r="X61" i="8"/>
  <c r="AF61" i="8"/>
  <c r="Z62" i="8"/>
  <c r="S63" i="8" l="1"/>
  <c r="U62" i="8"/>
  <c r="T62" i="8"/>
  <c r="Z63" i="8"/>
  <c r="AF62" i="8"/>
  <c r="X62" i="8"/>
  <c r="AB61" i="8"/>
  <c r="X63" i="8" l="1"/>
  <c r="Z64" i="8"/>
  <c r="AF63" i="8"/>
  <c r="AB62" i="8"/>
  <c r="S64" i="8"/>
  <c r="U63" i="8"/>
  <c r="T63" i="8"/>
  <c r="Z65" i="8" l="1"/>
  <c r="AF64" i="8"/>
  <c r="X64" i="8"/>
  <c r="S65" i="8"/>
  <c r="U64" i="8"/>
  <c r="T64" i="8"/>
  <c r="AB63" i="8"/>
  <c r="S66" i="8" l="1"/>
  <c r="T65" i="8"/>
  <c r="U65" i="8"/>
  <c r="AB64" i="8"/>
  <c r="X65" i="8"/>
  <c r="Z66" i="8"/>
  <c r="AF65" i="8"/>
  <c r="AF66" i="8" l="1"/>
  <c r="X66" i="8"/>
  <c r="Z67" i="8"/>
  <c r="AB65" i="8"/>
  <c r="S67" i="8"/>
  <c r="U66" i="8"/>
  <c r="T66" i="8"/>
  <c r="X67" i="8" l="1"/>
  <c r="AF67" i="8"/>
  <c r="Z68" i="8"/>
  <c r="AB66" i="8"/>
  <c r="S68" i="8"/>
  <c r="U67" i="8"/>
  <c r="T67" i="8"/>
  <c r="Z69" i="8" l="1"/>
  <c r="AF68" i="8"/>
  <c r="X68" i="8"/>
  <c r="S69" i="8"/>
  <c r="U68" i="8"/>
  <c r="T68" i="8"/>
  <c r="AB67" i="8"/>
  <c r="S70" i="8" l="1"/>
  <c r="U69" i="8"/>
  <c r="T69" i="8"/>
  <c r="AB68" i="8"/>
  <c r="Z70" i="8"/>
  <c r="AF69" i="8"/>
  <c r="X69" i="8"/>
  <c r="AB69" i="8" l="1"/>
  <c r="Z71" i="8"/>
  <c r="AF70" i="8"/>
  <c r="X70" i="8"/>
  <c r="S71" i="8"/>
  <c r="T70" i="8"/>
  <c r="U70" i="8"/>
  <c r="X71" i="8" l="1"/>
  <c r="Z72" i="8"/>
  <c r="AF71" i="8"/>
  <c r="S72" i="8"/>
  <c r="T71" i="8"/>
  <c r="U71" i="8"/>
  <c r="AB70" i="8"/>
  <c r="S73" i="8" l="1"/>
  <c r="U72" i="8"/>
  <c r="T72" i="8"/>
  <c r="Z73" i="8"/>
  <c r="AF72" i="8"/>
  <c r="X72" i="8"/>
  <c r="AB71" i="8"/>
  <c r="Z74" i="8" l="1"/>
  <c r="AF73" i="8"/>
  <c r="X73" i="8"/>
  <c r="AB72" i="8"/>
  <c r="S74" i="8"/>
  <c r="U73" i="8"/>
  <c r="T73" i="8"/>
  <c r="AB73" i="8" l="1"/>
  <c r="S75" i="8"/>
  <c r="U74" i="8"/>
  <c r="T74" i="8"/>
  <c r="Z75" i="8"/>
  <c r="AF74" i="8"/>
  <c r="X74" i="8"/>
  <c r="S76" i="8" l="1"/>
  <c r="U75" i="8"/>
  <c r="T75" i="8"/>
  <c r="AB74" i="8"/>
  <c r="X75" i="8"/>
  <c r="Z76" i="8"/>
  <c r="AF75" i="8"/>
  <c r="AF76" i="8" l="1"/>
  <c r="X76" i="8"/>
  <c r="Z77" i="8"/>
  <c r="AB75" i="8"/>
  <c r="S77" i="8"/>
  <c r="T76" i="8"/>
  <c r="U76" i="8"/>
  <c r="X77" i="8" l="1"/>
  <c r="Z78" i="8"/>
  <c r="AF77" i="8"/>
  <c r="AB76" i="8"/>
  <c r="S78" i="8"/>
  <c r="U77" i="8"/>
  <c r="T77" i="8"/>
  <c r="S79" i="8" l="1"/>
  <c r="U78" i="8"/>
  <c r="T78" i="8"/>
  <c r="Z79" i="8"/>
  <c r="AF78" i="8"/>
  <c r="X78" i="8"/>
  <c r="AB77" i="8"/>
  <c r="X79" i="8" l="1"/>
  <c r="AF79" i="8"/>
  <c r="Z80" i="8"/>
  <c r="AB78" i="8"/>
  <c r="S80" i="8"/>
  <c r="U79" i="8"/>
  <c r="T79" i="8"/>
  <c r="Z81" i="8" l="1"/>
  <c r="AF80" i="8"/>
  <c r="X80" i="8"/>
  <c r="S81" i="8"/>
  <c r="U80" i="8"/>
  <c r="T80" i="8"/>
  <c r="AB79" i="8"/>
  <c r="S82" i="8" l="1"/>
  <c r="U81" i="8"/>
  <c r="T81" i="8"/>
  <c r="AB80" i="8"/>
  <c r="X81" i="8"/>
  <c r="Z82" i="8"/>
  <c r="AF81" i="8"/>
  <c r="Z83" i="8" l="1"/>
  <c r="AF82" i="8"/>
  <c r="X82" i="8"/>
  <c r="AB81" i="8"/>
  <c r="S83" i="8"/>
  <c r="U82" i="8"/>
  <c r="T82" i="8"/>
  <c r="AB82" i="8" l="1"/>
  <c r="S84" i="8"/>
  <c r="U83" i="8"/>
  <c r="T83" i="8"/>
  <c r="X83" i="8"/>
  <c r="AF83" i="8"/>
  <c r="Z84" i="8"/>
  <c r="Z85" i="8" l="1"/>
  <c r="AF84" i="8"/>
  <c r="X84" i="8"/>
  <c r="S85" i="8"/>
  <c r="T84" i="8"/>
  <c r="U84" i="8"/>
  <c r="AB83" i="8"/>
  <c r="S86" i="8" l="1"/>
  <c r="U85" i="8"/>
  <c r="T85" i="8"/>
  <c r="AB84" i="8"/>
  <c r="Z86" i="8"/>
  <c r="AF85" i="8"/>
  <c r="X85" i="8"/>
  <c r="AB85" i="8" l="1"/>
  <c r="Z87" i="8"/>
  <c r="AF86" i="8"/>
  <c r="X86" i="8"/>
  <c r="S87" i="8"/>
  <c r="U86" i="8"/>
  <c r="T86" i="8"/>
  <c r="X87" i="8" l="1"/>
  <c r="Z88" i="8"/>
  <c r="AF87" i="8"/>
  <c r="S88" i="8"/>
  <c r="T87" i="8"/>
  <c r="U87" i="8"/>
  <c r="AB86" i="8"/>
  <c r="S89" i="8" l="1"/>
  <c r="T88" i="8"/>
  <c r="U88" i="8"/>
  <c r="AF88" i="8"/>
  <c r="Z89" i="8"/>
  <c r="X88" i="8"/>
  <c r="AB87" i="8"/>
  <c r="AB88" i="8" l="1"/>
  <c r="Z90" i="8"/>
  <c r="AF89" i="8"/>
  <c r="X89" i="8"/>
  <c r="S90" i="8"/>
  <c r="U89" i="8"/>
  <c r="T89" i="8"/>
  <c r="Z91" i="8" l="1"/>
  <c r="AF90" i="8"/>
  <c r="X90" i="8"/>
  <c r="S91" i="8"/>
  <c r="U90" i="8"/>
  <c r="T90" i="8"/>
  <c r="AB89" i="8"/>
  <c r="S92" i="8" l="1"/>
  <c r="U91" i="8"/>
  <c r="T91" i="8"/>
  <c r="AB90" i="8"/>
  <c r="X91" i="8"/>
  <c r="Z92" i="8"/>
  <c r="AF91" i="8"/>
  <c r="X92" i="8" l="1"/>
  <c r="Z93" i="8"/>
  <c r="AF92" i="8"/>
  <c r="AB91" i="8"/>
  <c r="S93" i="8"/>
  <c r="T92" i="8"/>
  <c r="U92" i="8"/>
  <c r="Z94" i="8" l="1"/>
  <c r="AF93" i="8"/>
  <c r="X93" i="8"/>
  <c r="S94" i="8"/>
  <c r="U93" i="8"/>
  <c r="T93" i="8"/>
  <c r="AB92" i="8"/>
  <c r="S95" i="8" l="1"/>
  <c r="U94" i="8"/>
  <c r="T94" i="8"/>
  <c r="AB93" i="8"/>
  <c r="Z95" i="8"/>
  <c r="AF94" i="8"/>
  <c r="X94" i="8"/>
  <c r="AB94" i="8" l="1"/>
  <c r="Z96" i="8"/>
  <c r="AF95" i="8"/>
  <c r="X95" i="8"/>
  <c r="S96" i="8"/>
  <c r="U95" i="8"/>
  <c r="T95" i="8"/>
  <c r="Z97" i="8" l="1"/>
  <c r="AF96" i="8"/>
  <c r="X96" i="8"/>
  <c r="S97" i="8"/>
  <c r="U96" i="8"/>
  <c r="T96" i="8"/>
  <c r="AB95" i="8"/>
  <c r="S98" i="8" l="1"/>
  <c r="U97" i="8"/>
  <c r="T97" i="8"/>
  <c r="AB96" i="8"/>
  <c r="X97" i="8"/>
  <c r="Z98" i="8"/>
  <c r="AF97" i="8"/>
  <c r="X98" i="8" l="1"/>
  <c r="Z99" i="8"/>
  <c r="AF98" i="8"/>
  <c r="AB97" i="8"/>
  <c r="S99" i="8"/>
  <c r="U98" i="8"/>
  <c r="T98" i="8"/>
  <c r="X99" i="8" l="1"/>
  <c r="Z100" i="8"/>
  <c r="AF99" i="8"/>
  <c r="S100" i="8"/>
  <c r="U99" i="8"/>
  <c r="T99" i="8"/>
  <c r="AB98" i="8"/>
  <c r="S101" i="8" l="1"/>
  <c r="U100" i="8"/>
  <c r="T100" i="8"/>
  <c r="Z101" i="8"/>
  <c r="AF100" i="8"/>
  <c r="X100" i="8"/>
  <c r="AB99" i="8"/>
  <c r="Z102" i="8" l="1"/>
  <c r="AF101" i="8"/>
  <c r="X101" i="8"/>
  <c r="AB100" i="8"/>
  <c r="S102" i="8"/>
  <c r="U101" i="8"/>
  <c r="T101" i="8"/>
  <c r="AB101" i="8" l="1"/>
  <c r="S103" i="8"/>
  <c r="T102" i="8"/>
  <c r="U102" i="8"/>
  <c r="Z103" i="8"/>
  <c r="AF102" i="8"/>
  <c r="X102" i="8"/>
  <c r="S104" i="8" l="1"/>
  <c r="U103" i="8"/>
  <c r="T103" i="8"/>
  <c r="AB102" i="8"/>
  <c r="X103" i="8"/>
  <c r="Z104" i="8"/>
  <c r="AF103" i="8"/>
  <c r="X104" i="8" l="1"/>
  <c r="AF104" i="8"/>
  <c r="Z105" i="8"/>
  <c r="AB103" i="8"/>
  <c r="S105" i="8"/>
  <c r="U104" i="8"/>
  <c r="T104" i="8"/>
  <c r="X105" i="8" l="1"/>
  <c r="AF105" i="8"/>
  <c r="Z106" i="8"/>
  <c r="S106" i="8"/>
  <c r="T105" i="8"/>
  <c r="U105" i="8"/>
  <c r="AB104" i="8"/>
  <c r="S107" i="8" l="1"/>
  <c r="U106" i="8"/>
  <c r="T106" i="8"/>
  <c r="Z107" i="8"/>
  <c r="AF106" i="8"/>
  <c r="X106" i="8"/>
  <c r="AB105" i="8"/>
  <c r="X107" i="8" l="1"/>
  <c r="AF107" i="8"/>
  <c r="Z108" i="8"/>
  <c r="AB106" i="8"/>
  <c r="S108" i="8"/>
  <c r="U107" i="8"/>
  <c r="T107" i="8"/>
  <c r="Z109" i="8" l="1"/>
  <c r="AF108" i="8"/>
  <c r="X108" i="8"/>
  <c r="S109" i="8"/>
  <c r="U108" i="8"/>
  <c r="T108" i="8"/>
  <c r="AB107" i="8"/>
  <c r="S110" i="8" l="1"/>
  <c r="U109" i="8"/>
  <c r="T109" i="8"/>
  <c r="AB108" i="8"/>
  <c r="X109" i="8"/>
  <c r="Z110" i="8"/>
  <c r="AF109" i="8"/>
  <c r="AF110" i="8" l="1"/>
  <c r="X110" i="8"/>
  <c r="Z111" i="8"/>
  <c r="AB109" i="8"/>
  <c r="S111" i="8"/>
  <c r="T110" i="8"/>
  <c r="U110" i="8"/>
  <c r="X111" i="8" l="1"/>
  <c r="Z112" i="8"/>
  <c r="AF111" i="8"/>
  <c r="S112" i="8"/>
  <c r="T111" i="8"/>
  <c r="U111" i="8"/>
  <c r="AB110" i="8"/>
  <c r="S113" i="8" l="1"/>
  <c r="U112" i="8"/>
  <c r="T112" i="8"/>
  <c r="Z113" i="8"/>
  <c r="AF112" i="8"/>
  <c r="X112" i="8"/>
  <c r="AB111" i="8"/>
  <c r="AF113" i="8" l="1"/>
  <c r="X113" i="8"/>
  <c r="AB112" i="8"/>
  <c r="U113" i="8"/>
  <c r="T113" i="8"/>
  <c r="AB113" i="8" l="1"/>
  <c r="V10" i="8"/>
  <c r="V12" i="8"/>
  <c r="V5" i="8"/>
  <c r="V15" i="8"/>
  <c r="V9" i="8"/>
  <c r="V8" i="8"/>
  <c r="V14" i="8"/>
  <c r="V13" i="8"/>
  <c r="V11" i="8"/>
  <c r="V7" i="8"/>
  <c r="V4" i="8"/>
  <c r="V16" i="8"/>
  <c r="V6" i="8"/>
  <c r="V20" i="8"/>
  <c r="V18" i="8"/>
  <c r="V17" i="8"/>
  <c r="V21" i="8"/>
  <c r="V19" i="8"/>
  <c r="AA113" i="8" l="1"/>
  <c r="AE116" i="8"/>
  <c r="AD116" i="8" s="1"/>
  <c r="AC116" i="8" s="1"/>
  <c r="AB116" i="8" s="1"/>
  <c r="AA116" i="8" s="1"/>
  <c r="Z116" i="8" s="1"/>
  <c r="X116" i="8" s="1"/>
  <c r="W116" i="8" s="1"/>
  <c r="V116" i="8" s="1"/>
  <c r="U116" i="8" s="1"/>
  <c r="T116" i="8" s="1"/>
  <c r="S116" i="8" s="1"/>
  <c r="X4" i="8"/>
  <c r="X5" i="8"/>
  <c r="X6" i="8"/>
  <c r="X7" i="8"/>
  <c r="AE114" i="8"/>
  <c r="AD114" i="8" s="1"/>
  <c r="AC114" i="8" s="1"/>
  <c r="AB114" i="8" s="1"/>
  <c r="AA114" i="8" s="1"/>
  <c r="Z114" i="8" s="1"/>
  <c r="X114" i="8" s="1"/>
  <c r="W114" i="8" s="1"/>
  <c r="V114" i="8" s="1"/>
  <c r="U114" i="8" s="1"/>
  <c r="T114" i="8" s="1"/>
  <c r="S114" i="8" s="1"/>
  <c r="X8" i="8"/>
  <c r="X9" i="8"/>
  <c r="X10" i="8"/>
  <c r="X11" i="8"/>
  <c r="AE117" i="8"/>
  <c r="AD117" i="8" s="1"/>
  <c r="AC117" i="8" s="1"/>
  <c r="AB117" i="8" s="1"/>
  <c r="AA117" i="8" s="1"/>
  <c r="Z117" i="8" s="1"/>
  <c r="X117" i="8" s="1"/>
  <c r="X12" i="8"/>
  <c r="X13" i="8"/>
  <c r="X14" i="8"/>
  <c r="X15" i="8"/>
  <c r="AE115" i="8"/>
  <c r="AD115" i="8" s="1"/>
  <c r="AC115" i="8" s="1"/>
  <c r="AB115" i="8" s="1"/>
  <c r="AA115" i="8" s="1"/>
  <c r="Z115" i="8" s="1"/>
  <c r="X115" i="8" s="1"/>
  <c r="W115" i="8" s="1"/>
  <c r="V115" i="8" s="1"/>
  <c r="U115" i="8" s="1"/>
  <c r="T115" i="8" s="1"/>
  <c r="S115" i="8" s="1"/>
  <c r="X16" i="8"/>
  <c r="X17" i="8"/>
  <c r="X18" i="8"/>
  <c r="X19" i="8"/>
  <c r="X20" i="8"/>
  <c r="X21" i="8"/>
  <c r="AA22" i="8"/>
  <c r="AA23" i="8"/>
  <c r="AA24" i="8"/>
  <c r="AA25" i="8"/>
  <c r="AA26" i="8"/>
  <c r="AA27" i="8"/>
  <c r="AA28" i="8"/>
  <c r="AA29" i="8"/>
  <c r="AA30" i="8"/>
  <c r="AA31" i="8"/>
  <c r="AA32" i="8"/>
  <c r="AA33" i="8"/>
  <c r="AA34" i="8"/>
  <c r="AA35" i="8"/>
  <c r="AA36" i="8"/>
  <c r="AA37" i="8"/>
  <c r="AA38" i="8"/>
  <c r="AA39" i="8"/>
  <c r="AA40" i="8"/>
  <c r="AA41" i="8"/>
  <c r="AA42" i="8"/>
  <c r="AA43" i="8"/>
  <c r="AA44" i="8"/>
  <c r="AA45" i="8"/>
  <c r="AA46" i="8"/>
  <c r="AA47" i="8"/>
  <c r="AA48" i="8"/>
  <c r="AA49" i="8"/>
  <c r="AA50" i="8"/>
  <c r="AA51" i="8"/>
  <c r="AA52" i="8"/>
  <c r="AA53" i="8"/>
  <c r="AA54" i="8"/>
  <c r="AA55" i="8"/>
  <c r="AA56" i="8"/>
  <c r="AA57" i="8"/>
  <c r="AA58" i="8"/>
  <c r="AA59" i="8"/>
  <c r="AA60" i="8"/>
  <c r="AA61" i="8"/>
  <c r="AA62" i="8"/>
  <c r="AA63" i="8"/>
  <c r="AA64" i="8"/>
  <c r="AA65" i="8"/>
  <c r="AA66" i="8"/>
  <c r="AA67" i="8"/>
  <c r="AA68" i="8"/>
  <c r="AA69" i="8"/>
  <c r="AA70" i="8"/>
  <c r="AA71" i="8"/>
  <c r="AA72" i="8"/>
  <c r="AA73" i="8"/>
  <c r="AA74" i="8"/>
  <c r="AA75" i="8"/>
  <c r="AA76" i="8"/>
  <c r="AA77" i="8"/>
  <c r="AA78" i="8"/>
  <c r="AA79" i="8"/>
  <c r="AA80" i="8"/>
  <c r="AA81" i="8"/>
  <c r="AA82" i="8"/>
  <c r="AA83" i="8"/>
  <c r="AA84" i="8"/>
  <c r="AA85" i="8"/>
  <c r="AA86" i="8"/>
  <c r="AA87" i="8"/>
  <c r="AA88" i="8"/>
  <c r="AA89" i="8"/>
  <c r="AA90" i="8"/>
  <c r="AA91" i="8"/>
  <c r="AA92" i="8"/>
  <c r="AA93" i="8"/>
  <c r="AA94" i="8"/>
  <c r="AA95" i="8"/>
  <c r="AA96" i="8"/>
  <c r="AA97" i="8"/>
  <c r="AA98" i="8"/>
  <c r="AA99" i="8"/>
  <c r="AA100" i="8"/>
  <c r="AA101" i="8"/>
  <c r="AA102" i="8"/>
  <c r="AA103" i="8"/>
  <c r="AA104" i="8"/>
  <c r="AA105" i="8"/>
  <c r="AA106" i="8"/>
  <c r="AA107" i="8"/>
  <c r="AA108" i="8"/>
  <c r="AA109" i="8"/>
  <c r="AA110" i="8"/>
  <c r="AA111" i="8"/>
  <c r="AA112" i="8"/>
  <c r="AB19" i="8" l="1"/>
  <c r="AA19" i="8"/>
  <c r="AB12" i="8"/>
  <c r="AA12" i="8"/>
  <c r="AB9" i="8"/>
  <c r="AA9" i="8"/>
  <c r="AB6" i="8"/>
  <c r="AA6" i="8"/>
  <c r="AB18" i="8"/>
  <c r="AA18" i="8"/>
  <c r="AB15" i="8"/>
  <c r="AA15" i="8"/>
  <c r="AB8" i="8"/>
  <c r="AA8" i="8"/>
  <c r="AB5" i="8"/>
  <c r="AA5" i="8"/>
  <c r="AA21" i="8"/>
  <c r="AB21" i="8"/>
  <c r="AB17" i="8"/>
  <c r="AA17" i="8"/>
  <c r="AB14" i="8"/>
  <c r="AA14" i="8"/>
  <c r="AB11" i="8"/>
  <c r="AA11" i="8"/>
  <c r="AB4" i="8"/>
  <c r="AA4" i="8"/>
  <c r="AB20" i="8"/>
  <c r="AA20" i="8"/>
  <c r="AB16" i="8"/>
  <c r="AA16" i="8"/>
  <c r="AB13" i="8"/>
  <c r="AA13" i="8"/>
  <c r="AB10" i="8"/>
  <c r="AA10" i="8"/>
  <c r="AB7" i="8"/>
  <c r="AA7" i="8"/>
</calcChain>
</file>

<file path=xl/sharedStrings.xml><?xml version="1.0" encoding="utf-8"?>
<sst xmlns="http://schemas.openxmlformats.org/spreadsheetml/2006/main" count="4481" uniqueCount="1182">
  <si>
    <t>HP</t>
  </si>
  <si>
    <t>XP</t>
  </si>
  <si>
    <t>Type</t>
  </si>
  <si>
    <t>Damage</t>
  </si>
  <si>
    <t>Kobold</t>
  </si>
  <si>
    <t>Ambush Drake</t>
  </si>
  <si>
    <t>Guard Drake</t>
  </si>
  <si>
    <t>Acolyte</t>
  </si>
  <si>
    <t>Cultist</t>
  </si>
  <si>
    <t>Guard</t>
  </si>
  <si>
    <t>Enemies List</t>
  </si>
  <si>
    <t>CR</t>
  </si>
  <si>
    <t>Unique</t>
  </si>
  <si>
    <t>My</t>
  </si>
  <si>
    <t>Character</t>
  </si>
  <si>
    <t>Level</t>
  </si>
  <si>
    <t>#</t>
  </si>
  <si>
    <t>Easy</t>
  </si>
  <si>
    <t>Medium</t>
  </si>
  <si>
    <t>Hard</t>
  </si>
  <si>
    <t>Deadly</t>
  </si>
  <si>
    <t>XP per day</t>
  </si>
  <si>
    <t>PEL</t>
  </si>
  <si>
    <t>Monster</t>
  </si>
  <si>
    <t>Number</t>
  </si>
  <si>
    <t>Threshold</t>
  </si>
  <si>
    <t>Experience</t>
  </si>
  <si>
    <t># of Players multiplier</t>
  </si>
  <si>
    <t># Monsters</t>
  </si>
  <si>
    <t>Aberration</t>
  </si>
  <si>
    <t>Beast</t>
  </si>
  <si>
    <t>Celestial</t>
  </si>
  <si>
    <t>Dragon</t>
  </si>
  <si>
    <t>Elemental</t>
  </si>
  <si>
    <t>Fey</t>
  </si>
  <si>
    <t>Fiend</t>
  </si>
  <si>
    <t>Giant</t>
  </si>
  <si>
    <t>Humanoid</t>
  </si>
  <si>
    <t>Monstrosity</t>
  </si>
  <si>
    <t>Ooze</t>
  </si>
  <si>
    <t>Plant</t>
  </si>
  <si>
    <t>Undead</t>
  </si>
  <si>
    <t>Encounter 1</t>
  </si>
  <si>
    <t>no</t>
  </si>
  <si>
    <t>yes</t>
  </si>
  <si>
    <t>Bandit</t>
  </si>
  <si>
    <t>Name</t>
  </si>
  <si>
    <t>Reference</t>
  </si>
  <si>
    <t>Notes</t>
  </si>
  <si>
    <t>Current sources</t>
  </si>
  <si>
    <t>Lemure</t>
  </si>
  <si>
    <t>MM76</t>
  </si>
  <si>
    <t>Devil</t>
  </si>
  <si>
    <t>Source</t>
  </si>
  <si>
    <t>Abbreviation</t>
  </si>
  <si>
    <t>Crawling Claw</t>
  </si>
  <si>
    <t>MM44</t>
  </si>
  <si>
    <t>B</t>
  </si>
  <si>
    <t>Commoner</t>
  </si>
  <si>
    <t>MM345</t>
  </si>
  <si>
    <t>HDQ</t>
  </si>
  <si>
    <t>Weasel</t>
  </si>
  <si>
    <t>MM340</t>
  </si>
  <si>
    <t>MM</t>
  </si>
  <si>
    <t>Vulture</t>
  </si>
  <si>
    <t>MM339</t>
  </si>
  <si>
    <t>Scorpion</t>
  </si>
  <si>
    <t>MM337</t>
  </si>
  <si>
    <t>Tips:</t>
  </si>
  <si>
    <t>Seahorse</t>
  </si>
  <si>
    <t>Click on the arrow beside the headings to pull up a sort menu - choose the criteria you want, and the spreadsheet will find every</t>
  </si>
  <si>
    <t>Spider</t>
  </si>
  <si>
    <t>entry that matches it. Ctrl-z is a good way to revert from that.</t>
  </si>
  <si>
    <t>Quipper</t>
  </si>
  <si>
    <t>MM335</t>
  </si>
  <si>
    <t>Control-F is great for finding multiple types of one creature with different CR - e.g, "Hobgoblin" and "Hobgoblin Captain"</t>
  </si>
  <si>
    <t>Rat</t>
  </si>
  <si>
    <t>Sorting is set to CR (with reference as a secondary sorting criteria) by default. Nothing will break if you change that.</t>
  </si>
  <si>
    <t>Raven</t>
  </si>
  <si>
    <t>Octopus</t>
  </si>
  <si>
    <t>MM333</t>
  </si>
  <si>
    <t>Summary Data</t>
  </si>
  <si>
    <t>Owlbear</t>
  </si>
  <si>
    <t># of entries</t>
  </si>
  <si>
    <t>Lizard</t>
  </si>
  <si>
    <t>MM332</t>
  </si>
  <si>
    <t>Hyena</t>
  </si>
  <si>
    <t>MM331</t>
  </si>
  <si>
    <t>Jackal</t>
  </si>
  <si>
    <t>Goat</t>
  </si>
  <si>
    <t>MM330</t>
  </si>
  <si>
    <t>Construct</t>
  </si>
  <si>
    <t>Hawk</t>
  </si>
  <si>
    <t>Giant Fire Beetle</t>
  </si>
  <si>
    <t>MM325</t>
  </si>
  <si>
    <t>Eagle</t>
  </si>
  <si>
    <t>MM322</t>
  </si>
  <si>
    <t>Frog</t>
  </si>
  <si>
    <t>Deer</t>
  </si>
  <si>
    <t>MM321</t>
  </si>
  <si>
    <t>Cat</t>
  </si>
  <si>
    <t>MM320</t>
  </si>
  <si>
    <t>Crab</t>
  </si>
  <si>
    <t>Baboon</t>
  </si>
  <si>
    <t>MM318</t>
  </si>
  <si>
    <t>Badger</t>
  </si>
  <si>
    <t>Bat</t>
  </si>
  <si>
    <t>Summary Chart</t>
  </si>
  <si>
    <t>Awakened Shrub</t>
  </si>
  <si>
    <t>MM317</t>
  </si>
  <si>
    <t>Total entries</t>
  </si>
  <si>
    <t>Myconid Sprout</t>
  </si>
  <si>
    <t>MM230</t>
  </si>
  <si>
    <t>Homunculus</t>
  </si>
  <si>
    <t>MM188</t>
  </si>
  <si>
    <t>Shrieker</t>
  </si>
  <si>
    <t>MM138</t>
  </si>
  <si>
    <t>B54</t>
  </si>
  <si>
    <t>B49</t>
  </si>
  <si>
    <t>B48</t>
  </si>
  <si>
    <t>B44</t>
  </si>
  <si>
    <t>B43</t>
  </si>
  <si>
    <t>Sea Horse</t>
  </si>
  <si>
    <t>B42</t>
  </si>
  <si>
    <t>B41</t>
  </si>
  <si>
    <t>Owl</t>
  </si>
  <si>
    <t>B39</t>
  </si>
  <si>
    <t>B38</t>
  </si>
  <si>
    <t>B34</t>
  </si>
  <si>
    <t>B33</t>
  </si>
  <si>
    <t>B31</t>
  </si>
  <si>
    <t>B30</t>
  </si>
  <si>
    <t>B25</t>
  </si>
  <si>
    <t>B21</t>
  </si>
  <si>
    <t>B17</t>
  </si>
  <si>
    <t>B16</t>
  </si>
  <si>
    <t>B15</t>
  </si>
  <si>
    <t>B14</t>
  </si>
  <si>
    <t>B12</t>
  </si>
  <si>
    <t>B11</t>
  </si>
  <si>
    <t>B10</t>
  </si>
  <si>
    <t>Manes</t>
  </si>
  <si>
    <t>MM60</t>
  </si>
  <si>
    <t>Demon</t>
  </si>
  <si>
    <t>Tribal Warrior</t>
  </si>
  <si>
    <t>MM350</t>
  </si>
  <si>
    <t>Noble</t>
  </si>
  <si>
    <t>MM348</t>
  </si>
  <si>
    <t>MM347</t>
  </si>
  <si>
    <t>MM343</t>
  </si>
  <si>
    <t>Pony</t>
  </si>
  <si>
    <t>Poisonous Snake</t>
  </si>
  <si>
    <t>MM334</t>
  </si>
  <si>
    <t>Mule</t>
  </si>
  <si>
    <t>Mastiff</t>
  </si>
  <si>
    <t>Flying Snake</t>
  </si>
  <si>
    <t>MM33</t>
  </si>
  <si>
    <t>Giant Weasel</t>
  </si>
  <si>
    <t>MM329</t>
  </si>
  <si>
    <t>Giant Rat</t>
  </si>
  <si>
    <t>MM327</t>
  </si>
  <si>
    <t>Giant Crab</t>
  </si>
  <si>
    <t>MM324</t>
  </si>
  <si>
    <t>Camel</t>
  </si>
  <si>
    <t>Twig Blight</t>
  </si>
  <si>
    <t>MM32</t>
  </si>
  <si>
    <t>Blood Hawk</t>
  </si>
  <si>
    <t>MM319</t>
  </si>
  <si>
    <t>Stirge</t>
  </si>
  <si>
    <t>MM284</t>
  </si>
  <si>
    <t>Slaad Tadpole</t>
  </si>
  <si>
    <t>MM276</t>
  </si>
  <si>
    <t>Monodrone</t>
  </si>
  <si>
    <t>MM224</t>
  </si>
  <si>
    <t>Modron</t>
  </si>
  <si>
    <t>Merfolk</t>
  </si>
  <si>
    <t>MM218</t>
  </si>
  <si>
    <t>MM195</t>
  </si>
  <si>
    <t>Flumph</t>
  </si>
  <si>
    <t>MM135</t>
  </si>
  <si>
    <t>HDQ13</t>
  </si>
  <si>
    <t>B53</t>
  </si>
  <si>
    <t>B47</t>
  </si>
  <si>
    <t>B40</t>
  </si>
  <si>
    <t>B37</t>
  </si>
  <si>
    <t>B36</t>
  </si>
  <si>
    <t>B35</t>
  </si>
  <si>
    <t>B29</t>
  </si>
  <si>
    <t>B27</t>
  </si>
  <si>
    <t>B24</t>
  </si>
  <si>
    <t>B20</t>
  </si>
  <si>
    <t>B13</t>
  </si>
  <si>
    <t>Pteranodon</t>
  </si>
  <si>
    <t>MM80</t>
  </si>
  <si>
    <t>Dretch</t>
  </si>
  <si>
    <t>MM57</t>
  </si>
  <si>
    <t>Bullywug</t>
  </si>
  <si>
    <t>MM35</t>
  </si>
  <si>
    <t>MM342</t>
  </si>
  <si>
    <t>Wolf</t>
  </si>
  <si>
    <t>MM341</t>
  </si>
  <si>
    <t>Swarm of Rats</t>
  </si>
  <si>
    <t>Swarm of Ravens</t>
  </si>
  <si>
    <t>Swarm of Bats</t>
  </si>
  <si>
    <t>Riding Horse</t>
  </si>
  <si>
    <t>MM336</t>
  </si>
  <si>
    <t>Panther</t>
  </si>
  <si>
    <t>Giant Wolf Spider</t>
  </si>
  <si>
    <t>Giant Owl</t>
  </si>
  <si>
    <t>Giant Poisonous Snake</t>
  </si>
  <si>
    <t>Giant Lizard</t>
  </si>
  <si>
    <t>MM326</t>
  </si>
  <si>
    <t>Giant Frog</t>
  </si>
  <si>
    <t>Giant Badger</t>
  </si>
  <si>
    <t>MM323</t>
  </si>
  <si>
    <t>Giant Bat</t>
  </si>
  <si>
    <t>Giant Centipede</t>
  </si>
  <si>
    <t>Elk</t>
  </si>
  <si>
    <t>Draft Horse</t>
  </si>
  <si>
    <t>Constrictor Snake</t>
  </si>
  <si>
    <t>Needle Blight</t>
  </si>
  <si>
    <t>Boar</t>
  </si>
  <si>
    <t>Blink Dog</t>
  </si>
  <si>
    <t>Zombie</t>
  </si>
  <si>
    <t>MM316</t>
  </si>
  <si>
    <t>Troglyodyte</t>
  </si>
  <si>
    <t>MM290</t>
  </si>
  <si>
    <t>Sprite</t>
  </si>
  <si>
    <t>MM283</t>
  </si>
  <si>
    <t>Skeleton</t>
  </si>
  <si>
    <t>MM272</t>
  </si>
  <si>
    <t>Pseudodragon</t>
  </si>
  <si>
    <t>MM254</t>
  </si>
  <si>
    <t>Pixie</t>
  </si>
  <si>
    <t>MM253</t>
  </si>
  <si>
    <t>Duodrone</t>
  </si>
  <si>
    <t>MM225</t>
  </si>
  <si>
    <t>Smoke Mephit</t>
  </si>
  <si>
    <t>MM217</t>
  </si>
  <si>
    <t>Steam Mephit</t>
  </si>
  <si>
    <t>Mud Mephit</t>
  </si>
  <si>
    <t>MM216</t>
  </si>
  <si>
    <t>Flying Sword</t>
  </si>
  <si>
    <t>MM20</t>
  </si>
  <si>
    <t>Kuo-toa</t>
  </si>
  <si>
    <t>MM199</t>
  </si>
  <si>
    <t>Winged Kobold</t>
  </si>
  <si>
    <t>Kenku</t>
  </si>
  <si>
    <t>MM194</t>
  </si>
  <si>
    <t>Grimlock</t>
  </si>
  <si>
    <t>MM175</t>
  </si>
  <si>
    <t>Goblin</t>
  </si>
  <si>
    <t>MM166</t>
  </si>
  <si>
    <t>Violet Fungus</t>
  </si>
  <si>
    <t>Drow</t>
  </si>
  <si>
    <t>MM128</t>
  </si>
  <si>
    <t>Aarakocra</t>
  </si>
  <si>
    <t>MM12</t>
  </si>
  <si>
    <t>HDQ7</t>
  </si>
  <si>
    <t>HDQ22</t>
  </si>
  <si>
    <t>HDQ21</t>
  </si>
  <si>
    <t>Troglodyte</t>
  </si>
  <si>
    <t>HDQ19</t>
  </si>
  <si>
    <t>B52</t>
  </si>
  <si>
    <t>B50</t>
  </si>
  <si>
    <t>B46</t>
  </si>
  <si>
    <t>B45</t>
  </si>
  <si>
    <t>B26</t>
  </si>
  <si>
    <t>B23</t>
  </si>
  <si>
    <t>B18</t>
  </si>
  <si>
    <t>Axe Beak</t>
  </si>
  <si>
    <t>Darkmantle</t>
  </si>
  <si>
    <t>MM46</t>
  </si>
  <si>
    <t>Cockatrice</t>
  </si>
  <si>
    <t>MM42</t>
  </si>
  <si>
    <t>Thug</t>
  </si>
  <si>
    <t>Scout</t>
  </si>
  <si>
    <t>MM349</t>
  </si>
  <si>
    <t>Worg</t>
  </si>
  <si>
    <t>Warhorse</t>
  </si>
  <si>
    <t>Swarm of Insects</t>
  </si>
  <si>
    <t>MM338</t>
  </si>
  <si>
    <t>Reef Shark</t>
  </si>
  <si>
    <t>Giant Wasp</t>
  </si>
  <si>
    <t>Giant Sea Horse</t>
  </si>
  <si>
    <t>MM328</t>
  </si>
  <si>
    <t>Giant Goat</t>
  </si>
  <si>
    <t>Crocodile</t>
  </si>
  <si>
    <t>Vine Blight</t>
  </si>
  <si>
    <t>Black Bear</t>
  </si>
  <si>
    <t>Ape</t>
  </si>
  <si>
    <t>Warhorse Skeleton</t>
  </si>
  <si>
    <t>MM273</t>
  </si>
  <si>
    <t>Shadow</t>
  </si>
  <si>
    <t>MM269</t>
  </si>
  <si>
    <t>Satyr</t>
  </si>
  <si>
    <t>MM267</t>
  </si>
  <si>
    <t>Sahuagin</t>
  </si>
  <si>
    <t>MM263</t>
  </si>
  <si>
    <t>Rust Monster</t>
  </si>
  <si>
    <t>MM262</t>
  </si>
  <si>
    <t>Piercer</t>
  </si>
  <si>
    <t>MM252</t>
  </si>
  <si>
    <t>Orc</t>
  </si>
  <si>
    <t>MM246</t>
  </si>
  <si>
    <t>Gray Ooze</t>
  </si>
  <si>
    <t>MM243</t>
  </si>
  <si>
    <t>Tridrone</t>
  </si>
  <si>
    <t>Magma Mephit</t>
  </si>
  <si>
    <t>Dust Mephit</t>
  </si>
  <si>
    <t>MM215</t>
  </si>
  <si>
    <t>Ice Mepit</t>
  </si>
  <si>
    <t>Magmin</t>
  </si>
  <si>
    <t>MM212</t>
  </si>
  <si>
    <t>Myconid Adult</t>
  </si>
  <si>
    <t>Lizardfolk</t>
  </si>
  <si>
    <t>MM204</t>
  </si>
  <si>
    <t>Jackalwere</t>
  </si>
  <si>
    <t>MM193</t>
  </si>
  <si>
    <t>Hobgoblin</t>
  </si>
  <si>
    <t>MM186</t>
  </si>
  <si>
    <t>Deep Gnome (Svirfneblin)</t>
  </si>
  <si>
    <t>MM164</t>
  </si>
  <si>
    <t>Gnoll</t>
  </si>
  <si>
    <t>MM163</t>
  </si>
  <si>
    <t>Gas Spore</t>
  </si>
  <si>
    <t>HDQ16</t>
  </si>
  <si>
    <t>HDQ11</t>
  </si>
  <si>
    <t>B55</t>
  </si>
  <si>
    <t>B51</t>
  </si>
  <si>
    <t>B32</t>
  </si>
  <si>
    <t>Imp</t>
  </si>
  <si>
    <t>Quasit</t>
  </si>
  <si>
    <t>MM63</t>
  </si>
  <si>
    <t>Spy</t>
  </si>
  <si>
    <t>Tiger</t>
  </si>
  <si>
    <t>Swarm of Quippers</t>
  </si>
  <si>
    <t>Lion</t>
  </si>
  <si>
    <t>Bugbear</t>
  </si>
  <si>
    <t>Giant Toad</t>
  </si>
  <si>
    <t>Giant Vulture</t>
  </si>
  <si>
    <t>Giant Spider</t>
  </si>
  <si>
    <t>Giant Hyena</t>
  </si>
  <si>
    <t>Giant Octopus</t>
  </si>
  <si>
    <t>Giant Eagle</t>
  </si>
  <si>
    <t>Death Dog</t>
  </si>
  <si>
    <t>Dire Wolf</t>
  </si>
  <si>
    <t>Brown Bear</t>
  </si>
  <si>
    <t>Yuan-ti Pureblood</t>
  </si>
  <si>
    <t>MM310</t>
  </si>
  <si>
    <t>Thri-kreen</t>
  </si>
  <si>
    <t>MM288</t>
  </si>
  <si>
    <t>Specter</t>
  </si>
  <si>
    <t>MM279</t>
  </si>
  <si>
    <t>Scarecrow</t>
  </si>
  <si>
    <t>MM268</t>
  </si>
  <si>
    <t>Fire Snake</t>
  </si>
  <si>
    <t>MM265</t>
  </si>
  <si>
    <t>Half Ogre</t>
  </si>
  <si>
    <t>MM238</t>
  </si>
  <si>
    <t>Quaggoth Spore Servant</t>
  </si>
  <si>
    <t>Quadrone</t>
  </si>
  <si>
    <t>MM226</t>
  </si>
  <si>
    <t>Kuo-toa Whip</t>
  </si>
  <si>
    <t>MM200</t>
  </si>
  <si>
    <t>Animated Armor</t>
  </si>
  <si>
    <t>MM19</t>
  </si>
  <si>
    <t>Hippogriff</t>
  </si>
  <si>
    <t>MM184</t>
  </si>
  <si>
    <t>Harpy</t>
  </si>
  <si>
    <t>MM181</t>
  </si>
  <si>
    <t>Goblin Boss</t>
  </si>
  <si>
    <t>Faerie Dragon</t>
  </si>
  <si>
    <t>MM133</t>
  </si>
  <si>
    <t>Red, orange or yellow.</t>
  </si>
  <si>
    <t>Duergar</t>
  </si>
  <si>
    <t>MM122</t>
  </si>
  <si>
    <t>Dryad</t>
  </si>
  <si>
    <t>MM121</t>
  </si>
  <si>
    <t>Copper Dragon Wyrmling</t>
  </si>
  <si>
    <t>MM112</t>
  </si>
  <si>
    <t>Brass Dragon Wyrmling</t>
  </si>
  <si>
    <t>MM106</t>
  </si>
  <si>
    <t>HDQ23</t>
  </si>
  <si>
    <t>HDQ17</t>
  </si>
  <si>
    <t>B9</t>
  </si>
  <si>
    <t>B28</t>
  </si>
  <si>
    <t>Ghoul</t>
  </si>
  <si>
    <t>B22</t>
  </si>
  <si>
    <t>Green Dragon Wyrmling</t>
  </si>
  <si>
    <t>MM95</t>
  </si>
  <si>
    <t>Black Dragon Wyrmling</t>
  </si>
  <si>
    <t>MM88</t>
  </si>
  <si>
    <t>Plesiosaurus</t>
  </si>
  <si>
    <t>Allosaurus</t>
  </si>
  <si>
    <t>MM79</t>
  </si>
  <si>
    <t>Spined Devil</t>
  </si>
  <si>
    <t>MM78</t>
  </si>
  <si>
    <t>Centaur</t>
  </si>
  <si>
    <t>MM38</t>
  </si>
  <si>
    <t>Carrion Crawler</t>
  </si>
  <si>
    <t>MM37</t>
  </si>
  <si>
    <t>Priest</t>
  </si>
  <si>
    <t>Druid</t>
  </si>
  <si>
    <t>MM346</t>
  </si>
  <si>
    <t>Cult Fanatic</t>
  </si>
  <si>
    <t>Bandit Captain</t>
  </si>
  <si>
    <t>MM344</t>
  </si>
  <si>
    <t>Berserker</t>
  </si>
  <si>
    <t>Swarm of Poisonous Snakes</t>
  </si>
  <si>
    <t>Rhinoceros</t>
  </si>
  <si>
    <t>Saber-toothed Tiger</t>
  </si>
  <si>
    <t>Polar Bear</t>
  </si>
  <si>
    <t>Hunter Shark</t>
  </si>
  <si>
    <t>Giant Elk</t>
  </si>
  <si>
    <t>Giant Constrictor Snake</t>
  </si>
  <si>
    <t>Giant Board</t>
  </si>
  <si>
    <t>Awakened Tree</t>
  </si>
  <si>
    <t>Ogre Zombie</t>
  </si>
  <si>
    <t>Will-o'-Wisp</t>
  </si>
  <si>
    <t>MM301</t>
  </si>
  <si>
    <t>Minotaur Skeleton</t>
  </si>
  <si>
    <t>Sahuagin Priestess</t>
  </si>
  <si>
    <t>MM264</t>
  </si>
  <si>
    <t>Quaggoth</t>
  </si>
  <si>
    <t>MM256</t>
  </si>
  <si>
    <t>Peryton</t>
  </si>
  <si>
    <t>MM251</t>
  </si>
  <si>
    <t>Pegasus</t>
  </si>
  <si>
    <t>MM250</t>
  </si>
  <si>
    <t>Orc Eye of Gruumsh</t>
  </si>
  <si>
    <t>MM247</t>
  </si>
  <si>
    <t>Orog</t>
  </si>
  <si>
    <t>Ochre Jelly</t>
  </si>
  <si>
    <t>Gelatinous Cube</t>
  </si>
  <si>
    <t>MM242</t>
  </si>
  <si>
    <t>Ogre</t>
  </si>
  <si>
    <t>MM237</t>
  </si>
  <si>
    <t>Nothic</t>
  </si>
  <si>
    <t>MM236</t>
  </si>
  <si>
    <t>Myconid Sovereign</t>
  </si>
  <si>
    <t>MM232</t>
  </si>
  <si>
    <t>Pentadrone</t>
  </si>
  <si>
    <t>Mimic</t>
  </si>
  <si>
    <t>MM220</t>
  </si>
  <si>
    <t>Azer</t>
  </si>
  <si>
    <t>MM22</t>
  </si>
  <si>
    <t>Merrow</t>
  </si>
  <si>
    <t>MM219</t>
  </si>
  <si>
    <t>Ankheg</t>
  </si>
  <si>
    <t>MM21</t>
  </si>
  <si>
    <t>Wererat</t>
  </si>
  <si>
    <t>MM209</t>
  </si>
  <si>
    <t>Lizardfolk Shaman</t>
  </si>
  <si>
    <t>MM205</t>
  </si>
  <si>
    <t>Rug of Smothering</t>
  </si>
  <si>
    <t>Intellect Devourer</t>
  </si>
  <si>
    <t>MM191</t>
  </si>
  <si>
    <t>Sea Hag</t>
  </si>
  <si>
    <t>MM179</t>
  </si>
  <si>
    <t>Griffon</t>
  </si>
  <si>
    <t>MM174</t>
  </si>
  <si>
    <t>Grick</t>
  </si>
  <si>
    <t>MM173</t>
  </si>
  <si>
    <t>Gnoll Pack Lord</t>
  </si>
  <si>
    <t>Githzerai Monk</t>
  </si>
  <si>
    <t>MM161</t>
  </si>
  <si>
    <t>Gibbering Mouther</t>
  </si>
  <si>
    <t>MM157</t>
  </si>
  <si>
    <t>Ghast</t>
  </si>
  <si>
    <t>MM148</t>
  </si>
  <si>
    <t>Gargoyle</t>
  </si>
  <si>
    <t>MM140</t>
  </si>
  <si>
    <t>Green, blue, indigo, or violet.</t>
  </si>
  <si>
    <t>Ettercap</t>
  </si>
  <si>
    <t>MM131</t>
  </si>
  <si>
    <t>Silver Dragon Wyrmling</t>
  </si>
  <si>
    <t>MM118</t>
  </si>
  <si>
    <t>Bronze Dragon Wyrmling</t>
  </si>
  <si>
    <t>MM109</t>
  </si>
  <si>
    <t>White Dragon Wyrmling</t>
  </si>
  <si>
    <t>MM102</t>
  </si>
  <si>
    <t>HDQ9</t>
  </si>
  <si>
    <t>Will o Wisp</t>
  </si>
  <si>
    <t>HDQ15</t>
  </si>
  <si>
    <t>Giant Boar</t>
  </si>
  <si>
    <t>Blue Dragon Wyrmling</t>
  </si>
  <si>
    <t>MM92</t>
  </si>
  <si>
    <t>Doppelganger</t>
  </si>
  <si>
    <t>MM82</t>
  </si>
  <si>
    <t>Displacer Beast</t>
  </si>
  <si>
    <t>MM81</t>
  </si>
  <si>
    <t>Ankylosaurus</t>
  </si>
  <si>
    <t>Bearded Devil</t>
  </si>
  <si>
    <t>MM70</t>
  </si>
  <si>
    <t>Veteran</t>
  </si>
  <si>
    <t>Knight</t>
  </si>
  <si>
    <t>Winter Wolf</t>
  </si>
  <si>
    <t>Phase Spider</t>
  </si>
  <si>
    <t>Killer Whale</t>
  </si>
  <si>
    <t>Bugbear Chief</t>
  </si>
  <si>
    <t>Giant Scorpion</t>
  </si>
  <si>
    <t>Yuan-ti Malison</t>
  </si>
  <si>
    <t>MM309</t>
  </si>
  <si>
    <t>Yeti</t>
  </si>
  <si>
    <t>MM305</t>
  </si>
  <si>
    <t>Wight</t>
  </si>
  <si>
    <t>MM300</t>
  </si>
  <si>
    <t>Spectator</t>
  </si>
  <si>
    <t>MM30</t>
  </si>
  <si>
    <t>Water Weird</t>
  </si>
  <si>
    <t>MM299</t>
  </si>
  <si>
    <t>MM249</t>
  </si>
  <si>
    <t>Basilisk</t>
  </si>
  <si>
    <t>MM24</t>
  </si>
  <si>
    <t>Nightmare</t>
  </si>
  <si>
    <t>MM235</t>
  </si>
  <si>
    <t>Mummy</t>
  </si>
  <si>
    <t>MM228</t>
  </si>
  <si>
    <t>Minotaur</t>
  </si>
  <si>
    <t>MM223</t>
  </si>
  <si>
    <t>Manticore</t>
  </si>
  <si>
    <t>MM213</t>
  </si>
  <si>
    <t>Werewolf</t>
  </si>
  <si>
    <t>MM211</t>
  </si>
  <si>
    <t>Hook Horror</t>
  </si>
  <si>
    <t>MM189</t>
  </si>
  <si>
    <t>Hobgoblin Captain</t>
  </si>
  <si>
    <t>Hell Hound</t>
  </si>
  <si>
    <t>MM182</t>
  </si>
  <si>
    <t>Green Hag</t>
  </si>
  <si>
    <t>MM177</t>
  </si>
  <si>
    <t>Grell</t>
  </si>
  <si>
    <t>MM172</t>
  </si>
  <si>
    <t>Githyanki Warrior</t>
  </si>
  <si>
    <t>MM160</t>
  </si>
  <si>
    <t>Gold Dragon Wyrmling</t>
  </si>
  <si>
    <t>MM115</t>
  </si>
  <si>
    <t>HDQ12</t>
  </si>
  <si>
    <t>Red Dragon Wyrmling</t>
  </si>
  <si>
    <t>MM98</t>
  </si>
  <si>
    <t>Shadow Demon</t>
  </si>
  <si>
    <t>MM64</t>
  </si>
  <si>
    <t>Couatl</t>
  </si>
  <si>
    <t>MM43</t>
  </si>
  <si>
    <t>Chuul</t>
  </si>
  <si>
    <t>MM40</t>
  </si>
  <si>
    <t>Elephant</t>
  </si>
  <si>
    <t>Succubus/Incubus</t>
  </si>
  <si>
    <t>MM285</t>
  </si>
  <si>
    <t>Orc War Chief</t>
  </si>
  <si>
    <t>Black Pudding</t>
  </si>
  <si>
    <t>MM241</t>
  </si>
  <si>
    <t>Bone Naga</t>
  </si>
  <si>
    <t>MM233</t>
  </si>
  <si>
    <t>Banshee</t>
  </si>
  <si>
    <t>MM23</t>
  </si>
  <si>
    <t>Weretiger</t>
  </si>
  <si>
    <t>MM210</t>
  </si>
  <si>
    <t>Wereboar</t>
  </si>
  <si>
    <t>Lizardfolk King/Queen</t>
  </si>
  <si>
    <t>Lamia</t>
  </si>
  <si>
    <t>MM201</t>
  </si>
  <si>
    <t>Helmed Horror</t>
  </si>
  <si>
    <t>MM183</t>
  </si>
  <si>
    <t>Gnoll Fang of Yeenoghu</t>
  </si>
  <si>
    <t>Ghost</t>
  </si>
  <si>
    <t>MM147</t>
  </si>
  <si>
    <t>Flameskull</t>
  </si>
  <si>
    <t>MM134</t>
  </si>
  <si>
    <t>Ettin</t>
  </si>
  <si>
    <t>MM132</t>
  </si>
  <si>
    <t>B19</t>
  </si>
  <si>
    <t>Triceratops</t>
  </si>
  <si>
    <t>Barbed Devil</t>
  </si>
  <si>
    <t>Barlgura</t>
  </si>
  <si>
    <t>MM56</t>
  </si>
  <si>
    <t>Cambion</t>
  </si>
  <si>
    <t>MM36</t>
  </si>
  <si>
    <t>Gladiator</t>
  </si>
  <si>
    <t>Bulette</t>
  </si>
  <si>
    <t>MM34</t>
  </si>
  <si>
    <t>Giant Shark</t>
  </si>
  <si>
    <t>Giant Crocodile</t>
  </si>
  <si>
    <t>Beholder Zombie</t>
  </si>
  <si>
    <t>Mezzoloth</t>
  </si>
  <si>
    <t>MM313</t>
  </si>
  <si>
    <t>Xorn</t>
  </si>
  <si>
    <t>MM304</t>
  </si>
  <si>
    <t>Wraith</t>
  </si>
  <si>
    <t>MM302</t>
  </si>
  <si>
    <t>Vampire Spawn</t>
  </si>
  <si>
    <t>MM298</t>
  </si>
  <si>
    <t>Unicorn</t>
  </si>
  <si>
    <t>MM294</t>
  </si>
  <si>
    <t>Umber Hulk</t>
  </si>
  <si>
    <t>MM292</t>
  </si>
  <si>
    <t>Troll</t>
  </si>
  <si>
    <t>MM291</t>
  </si>
  <si>
    <t>Red Slaad</t>
  </si>
  <si>
    <t>Shambling Mound</t>
  </si>
  <si>
    <t>MM270</t>
  </si>
  <si>
    <t>Salamander</t>
  </si>
  <si>
    <t>MM266</t>
  </si>
  <si>
    <t>Sahuagin Baron</t>
  </si>
  <si>
    <t>Roper</t>
  </si>
  <si>
    <t>MM261</t>
  </si>
  <si>
    <t>Revenant</t>
  </si>
  <si>
    <t>MM259</t>
  </si>
  <si>
    <t>Young Remorhaz</t>
  </si>
  <si>
    <t>MM258</t>
  </si>
  <si>
    <t>Otyugh</t>
  </si>
  <si>
    <t>MM248</t>
  </si>
  <si>
    <t>Werebear</t>
  </si>
  <si>
    <t>MM208</t>
  </si>
  <si>
    <t>Half-red Dragon Veteran</t>
  </si>
  <si>
    <t>MM180</t>
  </si>
  <si>
    <t>Night Hag</t>
  </si>
  <si>
    <t>MM178</t>
  </si>
  <si>
    <t>Gorgon</t>
  </si>
  <si>
    <t>MM171</t>
  </si>
  <si>
    <t>Flesh Golem</t>
  </si>
  <si>
    <t>MM169</t>
  </si>
  <si>
    <t>Hill GIant</t>
  </si>
  <si>
    <t>MM155</t>
  </si>
  <si>
    <t>Drow Elite Warrior</t>
  </si>
  <si>
    <t>Fire Elemental</t>
  </si>
  <si>
    <t>MM125</t>
  </si>
  <si>
    <t>Water Elemental</t>
  </si>
  <si>
    <t>Air Elemental</t>
  </si>
  <si>
    <t>MM124</t>
  </si>
  <si>
    <t>Earth Elemental</t>
  </si>
  <si>
    <t>HDQ14</t>
  </si>
  <si>
    <t>Hill Giant</t>
  </si>
  <si>
    <t>Vrock</t>
  </si>
  <si>
    <t>Chasme</t>
  </si>
  <si>
    <t>Cyclops</t>
  </si>
  <si>
    <t>MM45</t>
  </si>
  <si>
    <t>Chimera</t>
  </si>
  <si>
    <t>MM39</t>
  </si>
  <si>
    <t>Mage</t>
  </si>
  <si>
    <t>Mammoth</t>
  </si>
  <si>
    <t>Wyvern</t>
  </si>
  <si>
    <t>MM303</t>
  </si>
  <si>
    <t>Medusa</t>
  </si>
  <si>
    <t>MM214</t>
  </si>
  <si>
    <t>Kuo-toa Archpriest</t>
  </si>
  <si>
    <t>Invisible Stalker</t>
  </si>
  <si>
    <t>MM192</t>
  </si>
  <si>
    <t>Hobgoblin Warlord</t>
  </si>
  <si>
    <t>MM187</t>
  </si>
  <si>
    <t>Githzerai Zerth</t>
  </si>
  <si>
    <t>Galeb Duhr</t>
  </si>
  <si>
    <t>MM139</t>
  </si>
  <si>
    <t>Drider</t>
  </si>
  <si>
    <t>MM120</t>
  </si>
  <si>
    <t>Young Brass Dragon</t>
  </si>
  <si>
    <t>MM105</t>
  </si>
  <si>
    <t>Young White Dragon</t>
  </si>
  <si>
    <t>MM101</t>
  </si>
  <si>
    <t>Young Black Dragon</t>
  </si>
  <si>
    <t>Giant Ape</t>
  </si>
  <si>
    <t>Yuan-ti Abomination</t>
  </si>
  <si>
    <t>MM308</t>
  </si>
  <si>
    <t>Blue Slaad</t>
  </si>
  <si>
    <t>Shield Guardian</t>
  </si>
  <si>
    <t>MM271</t>
  </si>
  <si>
    <t>Oni</t>
  </si>
  <si>
    <t>MM239</t>
  </si>
  <si>
    <t>Mind Flayer</t>
  </si>
  <si>
    <t>MM222</t>
  </si>
  <si>
    <t>Grick Alpha</t>
  </si>
  <si>
    <t>Stone Giant</t>
  </si>
  <si>
    <t>MM156</t>
  </si>
  <si>
    <t>Drow Mage</t>
  </si>
  <si>
    <t>MM129</t>
  </si>
  <si>
    <t>Young Copper Dragon</t>
  </si>
  <si>
    <t>MM111</t>
  </si>
  <si>
    <t>HDQ18</t>
  </si>
  <si>
    <t>Young Green Dragon</t>
  </si>
  <si>
    <t>MM94</t>
  </si>
  <si>
    <t>Tyranosaurus Rex</t>
  </si>
  <si>
    <t>Chain Devil</t>
  </si>
  <si>
    <t>MM72</t>
  </si>
  <si>
    <t>Hezrou</t>
  </si>
  <si>
    <t>Cloaker</t>
  </si>
  <si>
    <t>MM41</t>
  </si>
  <si>
    <t>Assasin</t>
  </si>
  <si>
    <t>Green Slaad</t>
  </si>
  <si>
    <t>MM277</t>
  </si>
  <si>
    <t>Spirit Naga</t>
  </si>
  <si>
    <t>MM234</t>
  </si>
  <si>
    <t>Hydra</t>
  </si>
  <si>
    <t>MM190</t>
  </si>
  <si>
    <t>Githyanki Knight</t>
  </si>
  <si>
    <t>Frost Giant</t>
  </si>
  <si>
    <t>Fomorian</t>
  </si>
  <si>
    <t>MM136</t>
  </si>
  <si>
    <t>Drow Priestess of Lolth</t>
  </si>
  <si>
    <t>Young Bronze Dragon</t>
  </si>
  <si>
    <t>MM108</t>
  </si>
  <si>
    <t>HDQ6</t>
  </si>
  <si>
    <t>Young Blue Dragon</t>
  </si>
  <si>
    <t>Bone Devil</t>
  </si>
  <si>
    <t>MM71</t>
  </si>
  <si>
    <t>Glabrezu</t>
  </si>
  <si>
    <t>MM58</t>
  </si>
  <si>
    <t>Nycaloth</t>
  </si>
  <si>
    <t>MM314</t>
  </si>
  <si>
    <t>Abominable Yeti</t>
  </si>
  <si>
    <t>MM306</t>
  </si>
  <si>
    <t>Treant</t>
  </si>
  <si>
    <t>MM289</t>
  </si>
  <si>
    <t>Gray Slaad</t>
  </si>
  <si>
    <t>Clay Golem</t>
  </si>
  <si>
    <t>MM168</t>
  </si>
  <si>
    <t>Cloud Giant</t>
  </si>
  <si>
    <t>MM154</t>
  </si>
  <si>
    <t>Fire Giant</t>
  </si>
  <si>
    <t>Young Silver Dragon</t>
  </si>
  <si>
    <t>Young Red Dragon</t>
  </si>
  <si>
    <t>Yochlol</t>
  </si>
  <si>
    <t>MM65</t>
  </si>
  <si>
    <t>Death Slaad</t>
  </si>
  <si>
    <t>MM278</t>
  </si>
  <si>
    <t>Guardian Naga</t>
  </si>
  <si>
    <t>Stone Golem</t>
  </si>
  <si>
    <t>MM170</t>
  </si>
  <si>
    <t>Deva</t>
  </si>
  <si>
    <t>MM16</t>
  </si>
  <si>
    <t>Aboleth</t>
  </si>
  <si>
    <t>MM13</t>
  </si>
  <si>
    <t>Young Gold Dragon</t>
  </si>
  <si>
    <t>Horned Devil</t>
  </si>
  <si>
    <t>MM74</t>
  </si>
  <si>
    <t>Gynosphinx</t>
  </si>
  <si>
    <t>MM282</t>
  </si>
  <si>
    <t>Roc</t>
  </si>
  <si>
    <t>MM260</t>
  </si>
  <si>
    <t>Remorhaz</t>
  </si>
  <si>
    <t>Behir</t>
  </si>
  <si>
    <t>MM25</t>
  </si>
  <si>
    <t>Marid</t>
  </si>
  <si>
    <t>MM146</t>
  </si>
  <si>
    <t>Efreeti</t>
  </si>
  <si>
    <t>MM145</t>
  </si>
  <si>
    <t>Djinni</t>
  </si>
  <si>
    <t>MM144</t>
  </si>
  <si>
    <t>Dao</t>
  </si>
  <si>
    <t>MM143</t>
  </si>
  <si>
    <t>Erinyes</t>
  </si>
  <si>
    <t>MM73</t>
  </si>
  <si>
    <t>Archmage</t>
  </si>
  <si>
    <t>Arcanaloth</t>
  </si>
  <si>
    <t>Young Red Shadow Dragon</t>
  </si>
  <si>
    <t>MM85</t>
  </si>
  <si>
    <t>Nalfeshnee</t>
  </si>
  <si>
    <t>MM62</t>
  </si>
  <si>
    <t>Ultroloth</t>
  </si>
  <si>
    <t>Vampire</t>
  </si>
  <si>
    <t>MM297</t>
  </si>
  <si>
    <t>Beholder</t>
  </si>
  <si>
    <t>MM28</t>
  </si>
  <si>
    <t>Rakshasa</t>
  </si>
  <si>
    <t>MM257</t>
  </si>
  <si>
    <t>Storm Giant</t>
  </si>
  <si>
    <t>Adult Brass Dragon</t>
  </si>
  <si>
    <t>Adult White Dragon</t>
  </si>
  <si>
    <t>HDQ5</t>
  </si>
  <si>
    <t>HDQ20</t>
  </si>
  <si>
    <t>Adult Black Dragon</t>
  </si>
  <si>
    <t>Ice Devil</t>
  </si>
  <si>
    <t>MM75</t>
  </si>
  <si>
    <t>Death Tyrant</t>
  </si>
  <si>
    <t>MM29</t>
  </si>
  <si>
    <t>Adult Copper Dragon</t>
  </si>
  <si>
    <t>Adult Green Dragon</t>
  </si>
  <si>
    <t>Purple Worm</t>
  </si>
  <si>
    <t>MM255</t>
  </si>
  <si>
    <t>Mummy Lord</t>
  </si>
  <si>
    <t>MM229</t>
  </si>
  <si>
    <t>Adult Bronze Dragon</t>
  </si>
  <si>
    <t>Adult Blue Dragon</t>
  </si>
  <si>
    <t>MM91</t>
  </si>
  <si>
    <t>Marilith</t>
  </si>
  <si>
    <t>MM61</t>
  </si>
  <si>
    <t>Iron Golem</t>
  </si>
  <si>
    <t>Planetar</t>
  </si>
  <si>
    <t>MM17</t>
  </si>
  <si>
    <t>Adult Silver Dragon</t>
  </si>
  <si>
    <t>MM117</t>
  </si>
  <si>
    <t>HDQ4</t>
  </si>
  <si>
    <t>Adult Red Dragon</t>
  </si>
  <si>
    <t>Adult Blue Dracolich</t>
  </si>
  <si>
    <t>MM84</t>
  </si>
  <si>
    <t>Goristro</t>
  </si>
  <si>
    <t>MM59</t>
  </si>
  <si>
    <t>Death Knight</t>
  </si>
  <si>
    <t>MM47</t>
  </si>
  <si>
    <t>Androsphinx</t>
  </si>
  <si>
    <t>MM281</t>
  </si>
  <si>
    <t>Dragon Turtle</t>
  </si>
  <si>
    <t>MM119</t>
  </si>
  <si>
    <t>Adult Gold Dragon</t>
  </si>
  <si>
    <t>MM114</t>
  </si>
  <si>
    <t>B8</t>
  </si>
  <si>
    <t>Demilich</t>
  </si>
  <si>
    <t>MM48</t>
  </si>
  <si>
    <t>Balor</t>
  </si>
  <si>
    <t>MM55</t>
  </si>
  <si>
    <t>Pit Fiend</t>
  </si>
  <si>
    <t>MM77</t>
  </si>
  <si>
    <t>Ancient Brass Dragon</t>
  </si>
  <si>
    <t>MM104</t>
  </si>
  <si>
    <t>Ancient White Dragon</t>
  </si>
  <si>
    <t>MM100</t>
  </si>
  <si>
    <t>Ancient Black Dragon</t>
  </si>
  <si>
    <t>MM87</t>
  </si>
  <si>
    <t>Lich</t>
  </si>
  <si>
    <t>MM202</t>
  </si>
  <si>
    <t>Solar</t>
  </si>
  <si>
    <t>MM18</t>
  </si>
  <si>
    <t>Ancient Copper Dragon</t>
  </si>
  <si>
    <t>MM10</t>
  </si>
  <si>
    <t>Ancient Green Dragon</t>
  </si>
  <si>
    <t>MM93</t>
  </si>
  <si>
    <t>Ancient Bronze Dragon</t>
  </si>
  <si>
    <t>MM107</t>
  </si>
  <si>
    <t>Ancient Blue Dragon</t>
  </si>
  <si>
    <t>MM90</t>
  </si>
  <si>
    <t>Kraken</t>
  </si>
  <si>
    <t>MM197</t>
  </si>
  <si>
    <t>Empyrean</t>
  </si>
  <si>
    <t>MM130</t>
  </si>
  <si>
    <t>Titan</t>
  </si>
  <si>
    <t>Ancient Silver Dragon</t>
  </si>
  <si>
    <t>MM116</t>
  </si>
  <si>
    <t>Ancient Red Dragon</t>
  </si>
  <si>
    <t>MM97</t>
  </si>
  <si>
    <t>Ancient Gold Dragon</t>
  </si>
  <si>
    <t>MM113</t>
  </si>
  <si>
    <t>Tarrasque</t>
  </si>
  <si>
    <t>MM286</t>
  </si>
  <si>
    <t>-</t>
  </si>
  <si>
    <t>Shadow Dragon Template</t>
  </si>
  <si>
    <t>Dracolich Template</t>
  </si>
  <si>
    <t>MM83</t>
  </si>
  <si>
    <t>Spore Servant Template</t>
  </si>
  <si>
    <t>Varies</t>
  </si>
  <si>
    <t>Half Dragon Template</t>
  </si>
  <si>
    <t>15 и больше</t>
  </si>
  <si>
    <t xml:space="preserve"> 11-14</t>
  </si>
  <si>
    <t xml:space="preserve"> 7-10</t>
  </si>
  <si>
    <t xml:space="preserve"> 3-6</t>
  </si>
  <si>
    <t>Palant</t>
  </si>
  <si>
    <t>Dimitriy</t>
  </si>
  <si>
    <t>Mark</t>
  </si>
  <si>
    <t>Faurgar</t>
  </si>
  <si>
    <t>Rockdat</t>
  </si>
  <si>
    <t>Difficulty</t>
  </si>
  <si>
    <t>Number of enemies</t>
  </si>
  <si>
    <t>Coefficient</t>
  </si>
  <si>
    <t>Total</t>
  </si>
  <si>
    <t>Average Player Level</t>
  </si>
  <si>
    <t>Max Player Level</t>
  </si>
  <si>
    <t>Type of Encounter</t>
  </si>
  <si>
    <t>Remaining Budget</t>
  </si>
  <si>
    <t>Total XP Award</t>
  </si>
  <si>
    <t>XP Award per Character</t>
  </si>
  <si>
    <t>Short Rest after?</t>
  </si>
  <si>
    <t>Total difficulty before SR</t>
  </si>
  <si>
    <t>Used CP</t>
  </si>
  <si>
    <t>StrengthOfParty</t>
  </si>
  <si>
    <t>Encounter 2</t>
  </si>
  <si>
    <t>Encounter 3</t>
  </si>
  <si>
    <t>Encounter 4</t>
  </si>
  <si>
    <t>Remaining Budget before SR</t>
  </si>
  <si>
    <t>Remaining Budget per Day</t>
  </si>
  <si>
    <t>Encounter 5</t>
  </si>
  <si>
    <t>Encounter 6</t>
  </si>
  <si>
    <t>Encounter 7</t>
  </si>
  <si>
    <t>Encounter 8</t>
  </si>
  <si>
    <t>Encounter 9</t>
  </si>
  <si>
    <t>Encounter 10</t>
  </si>
  <si>
    <t>Select Encounter</t>
  </si>
  <si>
    <t>Encounter</t>
  </si>
  <si>
    <t>Encounter Name</t>
  </si>
  <si>
    <t>Type Of Monster</t>
  </si>
  <si>
    <t>Quantity</t>
  </si>
  <si>
    <t>№ of Monster</t>
  </si>
  <si>
    <t>№о</t>
  </si>
  <si>
    <t>Initiative Rolled</t>
  </si>
  <si>
    <t>№ of Player Character</t>
  </si>
  <si>
    <t>Total monsters</t>
  </si>
  <si>
    <t>Sides</t>
  </si>
  <si>
    <t>Modifier</t>
  </si>
  <si>
    <t>Equation</t>
  </si>
  <si>
    <t>Result</t>
  </si>
  <si>
    <t>Comment</t>
  </si>
  <si>
    <t>Critical</t>
  </si>
  <si>
    <t>Initiative</t>
  </si>
  <si>
    <t>MaxHP</t>
  </si>
  <si>
    <t>TempHP</t>
  </si>
  <si>
    <t>CurrentHP</t>
  </si>
  <si>
    <t>Damage dealt and healing done</t>
  </si>
  <si>
    <t>Error</t>
  </si>
  <si>
    <t>№</t>
  </si>
  <si>
    <t>1d20(7)+3</t>
  </si>
  <si>
    <t>CE</t>
  </si>
  <si>
    <t>AC</t>
  </si>
  <si>
    <t>leather armor</t>
  </si>
  <si>
    <t>hide armor</t>
  </si>
  <si>
    <t>Size</t>
  </si>
  <si>
    <t>Alignment</t>
  </si>
  <si>
    <t>Speed</t>
  </si>
  <si>
    <t>none</t>
  </si>
  <si>
    <t>Hit Dice &amp; HP</t>
  </si>
  <si>
    <t>STR</t>
  </si>
  <si>
    <t>DEX</t>
  </si>
  <si>
    <t>CON</t>
  </si>
  <si>
    <t>INT</t>
  </si>
  <si>
    <t>WIS</t>
  </si>
  <si>
    <t>CHA</t>
  </si>
  <si>
    <t>Saving Throws</t>
  </si>
  <si>
    <t>Senses</t>
  </si>
  <si>
    <t>non</t>
  </si>
  <si>
    <t>Passive Perception</t>
  </si>
  <si>
    <t>Cha</t>
  </si>
  <si>
    <t>Skills</t>
  </si>
  <si>
    <t>Damage immunities and vulnerabilitis</t>
  </si>
  <si>
    <t>Medicine</t>
  </si>
  <si>
    <t>Str</t>
  </si>
  <si>
    <t>prof</t>
  </si>
  <si>
    <t>Religion</t>
  </si>
  <si>
    <t>Dex</t>
  </si>
  <si>
    <t>Con</t>
  </si>
  <si>
    <t>Skill</t>
  </si>
  <si>
    <t>Int</t>
  </si>
  <si>
    <t>Wis</t>
  </si>
  <si>
    <t>Languages</t>
  </si>
  <si>
    <t>common</t>
  </si>
  <si>
    <t>Actions</t>
  </si>
  <si>
    <t>Features</t>
  </si>
  <si>
    <t>Attack</t>
  </si>
  <si>
    <t>Att.#</t>
  </si>
  <si>
    <t>Range</t>
  </si>
  <si>
    <t>To hit</t>
  </si>
  <si>
    <t>Dmg</t>
  </si>
  <si>
    <r>
      <t xml:space="preserve">Cantrips: </t>
    </r>
    <r>
      <rPr>
        <i/>
        <sz val="11"/>
        <color theme="1"/>
        <rFont val="Calibri"/>
        <family val="2"/>
        <charset val="204"/>
        <scheme val="minor"/>
      </rPr>
      <t xml:space="preserve">light, sacred flame, thaumaturgy
</t>
    </r>
    <r>
      <rPr>
        <sz val="11"/>
        <color theme="1"/>
        <rFont val="Calibri"/>
        <family val="2"/>
        <charset val="204"/>
        <scheme val="minor"/>
      </rPr>
      <t>1-st Lvl (3 slots): bless, cure wounds, sanctuary</t>
    </r>
  </si>
  <si>
    <t>Club</t>
  </si>
  <si>
    <t>melee</t>
  </si>
  <si>
    <t>1d4</t>
  </si>
  <si>
    <t>Scimitar</t>
  </si>
  <si>
    <t>1d6+1</t>
  </si>
  <si>
    <t>Greataxe</t>
  </si>
  <si>
    <t>1d12+3</t>
  </si>
  <si>
    <t>Light crossbow</t>
  </si>
  <si>
    <t>ranged-90</t>
  </si>
  <si>
    <t>1d8+1</t>
  </si>
  <si>
    <t>Spellcasting ability</t>
  </si>
  <si>
    <t>Spell Attack</t>
  </si>
  <si>
    <t>Save DC</t>
  </si>
  <si>
    <r>
      <t>Reckless.</t>
    </r>
    <r>
      <rPr>
        <sz val="11"/>
        <color theme="1"/>
        <rFont val="Calibri"/>
        <family val="2"/>
        <charset val="204"/>
        <scheme val="minor"/>
      </rPr>
      <t xml:space="preserve"> At the start of its turn, the berserker can gain advantage on all melee weapon attack rolls during this turn, but attack rolls against him have advantage until the start of its next turn</t>
    </r>
  </si>
  <si>
    <t>Knight (of Cult)</t>
  </si>
  <si>
    <t>LE</t>
  </si>
  <si>
    <t>chain shirt</t>
  </si>
  <si>
    <t>full plate mail</t>
  </si>
  <si>
    <t>shield</t>
  </si>
  <si>
    <t>Deception</t>
  </si>
  <si>
    <t>Perception</t>
  </si>
  <si>
    <t>Spear</t>
  </si>
  <si>
    <t>Greatsword</t>
  </si>
  <si>
    <t>2d6+3</t>
  </si>
  <si>
    <t>thrown-20</t>
  </si>
  <si>
    <t>Heavy Crossbow</t>
  </si>
  <si>
    <t>ranged-120</t>
  </si>
  <si>
    <t>1d10</t>
  </si>
  <si>
    <r>
      <t xml:space="preserve">Dark Devotion. </t>
    </r>
    <r>
      <rPr>
        <sz val="11"/>
        <color theme="1"/>
        <rFont val="Calibri"/>
        <family val="2"/>
        <charset val="204"/>
        <scheme val="minor"/>
      </rPr>
      <t>The cultist has advantage on ST against charm or fear</t>
    </r>
  </si>
  <si>
    <r>
      <t xml:space="preserve">Brave. </t>
    </r>
    <r>
      <rPr>
        <sz val="11"/>
        <color theme="1"/>
        <rFont val="Calibri"/>
        <family val="2"/>
        <charset val="204"/>
        <scheme val="minor"/>
      </rPr>
      <t>The Knight has advantage on ST against fear.
Leadership (1/SR). For 1 minute 1 nonhostile character gain +1d4 on attack rolls or ST.</t>
    </r>
  </si>
  <si>
    <t>Priest (of Tiamat)</t>
  </si>
  <si>
    <t>v</t>
  </si>
  <si>
    <t>Small</t>
  </si>
  <si>
    <t>NE</t>
  </si>
  <si>
    <t>darkvision</t>
  </si>
  <si>
    <t>Nature</t>
  </si>
  <si>
    <t>Persuassion</t>
  </si>
  <si>
    <t>Stealth</t>
  </si>
  <si>
    <t>Survival</t>
  </si>
  <si>
    <t>draconic</t>
  </si>
  <si>
    <t>Cantrips (at will): light, sacred flame, thaumaturgy
1 st lvl (4 slots): cure wounds, guiding bolt, sanctuary
2 nd lvl (3 slots): lesser restoration, spiritual weapon
3rd lvl (2 slots): dispel magic, spirit guardians</t>
  </si>
  <si>
    <t>Dagger</t>
  </si>
  <si>
    <t>d4+2</t>
  </si>
  <si>
    <t>Short sword</t>
  </si>
  <si>
    <t>1d6+3</t>
  </si>
  <si>
    <t>Sling</t>
  </si>
  <si>
    <t>ranged-30</t>
  </si>
  <si>
    <t>Long bow</t>
  </si>
  <si>
    <t>1d8+3</t>
  </si>
  <si>
    <t>Sunlight Sensivity. Have DA on  attack rolls while in sunlight
Pack Tactics. The kobold has advantage on an attack roll if ally is within 5 ft</t>
  </si>
  <si>
    <t>Divine Eminence. As a bonus action, the pries can deal an extra 3d6 radiant dmg to target (effect lasts until the end of the turn).</t>
  </si>
  <si>
    <t>Keen hearing and Sight. Adv on Wis Checks on hearing or sight</t>
  </si>
  <si>
    <t>Mercenary Veteran</t>
  </si>
  <si>
    <t>DragonClaw</t>
  </si>
  <si>
    <t>DragonWing</t>
  </si>
  <si>
    <t>N</t>
  </si>
  <si>
    <t>splint male</t>
  </si>
  <si>
    <t>Athletics</t>
  </si>
  <si>
    <t>Long sword</t>
  </si>
  <si>
    <t>d8+3</t>
  </si>
  <si>
    <t>d6+3</t>
  </si>
  <si>
    <t>d6+4</t>
  </si>
  <si>
    <t>Dragon Fanatic.
Fanatical Advantage.
Pack Tactics.</t>
  </si>
  <si>
    <t xml:space="preserve">Mercenary Raider </t>
  </si>
  <si>
    <t>Studded Leather</t>
  </si>
  <si>
    <t>n/a</t>
  </si>
  <si>
    <t>natural armor</t>
  </si>
  <si>
    <t>Lightning</t>
  </si>
  <si>
    <t>resist</t>
  </si>
  <si>
    <t>Poison</t>
  </si>
  <si>
    <t>GreatSword</t>
  </si>
  <si>
    <t>2d6+4</t>
  </si>
  <si>
    <t>Bite</t>
  </si>
  <si>
    <t>1D6+2</t>
  </si>
  <si>
    <t>Tail</t>
  </si>
  <si>
    <t>Multiattack - 1 bite + 1 tail</t>
  </si>
  <si>
    <t>Pack Tactics.
Surprise Attack. (+2d6)</t>
  </si>
  <si>
    <t>Определение базовых характеристик</t>
  </si>
  <si>
    <t>Base stats per Challenge Rating</t>
  </si>
  <si>
    <t>Size&amp;HD</t>
  </si>
  <si>
    <t>Вспомогательные расчет</t>
  </si>
  <si>
    <t>Proficiency Bonus</t>
  </si>
  <si>
    <t>Armor Class</t>
  </si>
  <si>
    <t>Min HP</t>
  </si>
  <si>
    <t>Max HP</t>
  </si>
  <si>
    <t>Attack Bonus</t>
  </si>
  <si>
    <t>Min dmg/round</t>
  </si>
  <si>
    <t>Max dmg/round</t>
  </si>
  <si>
    <t>SaveDC</t>
  </si>
  <si>
    <t>Hit Die</t>
  </si>
  <si>
    <t>Resistance</t>
  </si>
  <si>
    <t>Immunity</t>
  </si>
  <si>
    <t>Base Stats</t>
  </si>
  <si>
    <t>Armor</t>
  </si>
  <si>
    <t>Финальный CR</t>
  </si>
  <si>
    <t>Tiny</t>
  </si>
  <si>
    <t>Without Armor</t>
  </si>
  <si>
    <t>Shield</t>
  </si>
  <si>
    <t>UD (D+C)</t>
  </si>
  <si>
    <t>Защитный CR</t>
  </si>
  <si>
    <t>UD (D+W)</t>
  </si>
  <si>
    <t>Атакующий CR</t>
  </si>
  <si>
    <t>Large</t>
  </si>
  <si>
    <t>Принятый CR</t>
  </si>
  <si>
    <t>Huge</t>
  </si>
  <si>
    <t>Gargantuan</t>
  </si>
  <si>
    <t>Unarmored Defence (Dex+Con)</t>
  </si>
  <si>
    <t>Magic +2</t>
  </si>
  <si>
    <t>Unarmored Defence (Dex+Wis)</t>
  </si>
  <si>
    <t>Magic</t>
  </si>
  <si>
    <t>Padded Armor</t>
  </si>
  <si>
    <t>Lawful Good</t>
  </si>
  <si>
    <t>Leather Armor</t>
  </si>
  <si>
    <t>Сравнение HP и AC</t>
  </si>
  <si>
    <t>Neutral Good</t>
  </si>
  <si>
    <t>Natural</t>
  </si>
  <si>
    <t>Chaotic Good</t>
  </si>
  <si>
    <t>Hide</t>
  </si>
  <si>
    <t>Lawful Neutral</t>
  </si>
  <si>
    <t>Chain Shirt</t>
  </si>
  <si>
    <t>AC monster</t>
  </si>
  <si>
    <t>AC base</t>
  </si>
  <si>
    <t>blindsight</t>
  </si>
  <si>
    <t>Neutral</t>
  </si>
  <si>
    <t>Scale Mail</t>
  </si>
  <si>
    <t>Difference</t>
  </si>
  <si>
    <t>Chaotic Neutral</t>
  </si>
  <si>
    <t>Breastplate</t>
  </si>
  <si>
    <t>Увеличить CR базовый</t>
  </si>
  <si>
    <t>Lawful Evil</t>
  </si>
  <si>
    <t>Half Plate</t>
  </si>
  <si>
    <t>Новый CR базовый</t>
  </si>
  <si>
    <t>Neutral Evil</t>
  </si>
  <si>
    <t>Ring Mail</t>
  </si>
  <si>
    <t>Chaotic Evil</t>
  </si>
  <si>
    <t>Chain Mail</t>
  </si>
  <si>
    <t>2.1.</t>
  </si>
  <si>
    <t>Увеличение эффективного хп</t>
  </si>
  <si>
    <t>Unaligned</t>
  </si>
  <si>
    <t>Splint</t>
  </si>
  <si>
    <t>Plate</t>
  </si>
  <si>
    <t>Количество</t>
  </si>
  <si>
    <t>Множитель</t>
  </si>
  <si>
    <t>ручная корректировка CR</t>
  </si>
  <si>
    <t>Vulnerability</t>
  </si>
  <si>
    <t>Max coefficient</t>
  </si>
  <si>
    <t>Min dmg</t>
  </si>
  <si>
    <t>Max dmg</t>
  </si>
  <si>
    <t>Average</t>
  </si>
  <si>
    <t>Output/rnd</t>
  </si>
  <si>
    <t>Effective HP</t>
  </si>
  <si>
    <t>2.2.</t>
  </si>
  <si>
    <t>Увеличение защиты</t>
  </si>
  <si>
    <t>Fly</t>
  </si>
  <si>
    <t>Увеличение AC</t>
  </si>
  <si>
    <t>Спасброски</t>
  </si>
  <si>
    <t>Эффективный АС</t>
  </si>
  <si>
    <t>Сравнение урона</t>
  </si>
  <si>
    <t>DMG /round</t>
  </si>
  <si>
    <t>new Attack bonus</t>
  </si>
  <si>
    <t>Base Attack bonus</t>
  </si>
  <si>
    <t>Init</t>
  </si>
  <si>
    <t>Number of dices</t>
  </si>
  <si>
    <t>Dice</t>
  </si>
  <si>
    <t>mod</t>
  </si>
  <si>
    <t>NAME</t>
  </si>
  <si>
    <t>Acrobatics</t>
  </si>
  <si>
    <t>expert</t>
  </si>
  <si>
    <t>elvish</t>
  </si>
  <si>
    <t>Thieve's Cant
Evasion
Sneak Attack +4d6
Assasinate</t>
  </si>
  <si>
    <t>Shortsword</t>
  </si>
  <si>
    <t>1d6+4</t>
  </si>
  <si>
    <t>Light Crossbow</t>
  </si>
  <si>
    <t>1d8+4</t>
  </si>
  <si>
    <t>CN</t>
  </si>
  <si>
    <t>Studded leather</t>
  </si>
  <si>
    <t>Intimidation</t>
  </si>
  <si>
    <t>Short Sword</t>
  </si>
  <si>
    <t>Shield Bash</t>
  </si>
  <si>
    <t>2d4+4</t>
  </si>
  <si>
    <t>Shield Bash - DC 15 ST or be knocked prone
Brute (+1 damage dice)
Brave.
Reaction - Parry. +3 AC</t>
  </si>
  <si>
    <t>Dragon Fang</t>
  </si>
  <si>
    <t>infernal</t>
  </si>
  <si>
    <t>d6+3+2d6</t>
  </si>
  <si>
    <t>Fanatic Advantage. +3d6 dmg if attacks with ADV.
Limited Flight. Bonus Action - Fly 30 ft. speed on 1 round
Pack Tactics
Sh.Sw - Dmg: 1d6+3+2d6(poison)</t>
  </si>
  <si>
    <t>Orb of Dragon Breath</t>
  </si>
  <si>
    <t>2/Day</t>
  </si>
  <si>
    <t>5d8</t>
  </si>
  <si>
    <t>1d4+3</t>
  </si>
  <si>
    <t>MultiAttack. Scimitar - 2 attacks + Dagger 1 attack
Parry.  + 2 AC as reaction</t>
  </si>
  <si>
    <t>Drow Warrior</t>
  </si>
  <si>
    <t>Hand Crossbow</t>
  </si>
  <si>
    <t>1d6+2</t>
  </si>
  <si>
    <t>Chain shirt</t>
  </si>
  <si>
    <t>Hand crossbow</t>
  </si>
  <si>
    <t>Fey Ancestry.
Innate Spellcasting (dancing lights at will, darkness, faerie fire - 1/LR)</t>
  </si>
  <si>
    <t>Cult Prison Guard (half-dragon)</t>
  </si>
  <si>
    <t>Splint mail</t>
  </si>
  <si>
    <t>Action Surge.
Lightning Breath DC 13 Dex ST 4d10, half on save.</t>
  </si>
  <si>
    <t>half-plate</t>
  </si>
  <si>
    <t>Goblin language</t>
  </si>
  <si>
    <t>2d6+2</t>
  </si>
  <si>
    <t>Javelin</t>
  </si>
  <si>
    <t>Martial Advantage +3d6
Leadership</t>
  </si>
  <si>
    <t>Half-Red Dragon Veteran</t>
  </si>
  <si>
    <t>Fire</t>
  </si>
  <si>
    <t>Thunder</t>
  </si>
  <si>
    <t>Longsword</t>
  </si>
  <si>
    <t>Fire Breath -DC 15 Dex St 7d6 fire damage
Parry - +3 Ac on reaction</t>
  </si>
  <si>
    <t>Chainmail</t>
  </si>
  <si>
    <t>Martial Advantage +2d6 damage</t>
  </si>
  <si>
    <t>Long Bow</t>
  </si>
  <si>
    <t>Max CR possible</t>
  </si>
  <si>
    <t>Scouts</t>
  </si>
  <si>
    <t>Rear Guard</t>
  </si>
  <si>
    <t>Honor Guard</t>
  </si>
  <si>
    <t>Guard Station</t>
  </si>
  <si>
    <t>Cult Enforcer</t>
  </si>
  <si>
    <t>Arcana</t>
  </si>
  <si>
    <t>Insight</t>
  </si>
  <si>
    <t>orcish</t>
  </si>
  <si>
    <t>celestial</t>
  </si>
  <si>
    <t>1d4+4</t>
  </si>
  <si>
    <t xml:space="preserve">Fey Ancestry.
</t>
  </si>
  <si>
    <t>7th lvl Spellcaster
Cantrips: fire bolt, prestidigitation, shocking grasp
1st (4sl): Longstrider, magic missile, shield, thunderwave
2nd (2sl):magic weapon, misty step
War magic: after casting cantrip can attack as bonus action</t>
  </si>
  <si>
    <t>Rezmir</t>
  </si>
  <si>
    <t>Acid</t>
  </si>
  <si>
    <t>immun</t>
  </si>
  <si>
    <t>2d6+6+2d6</t>
  </si>
  <si>
    <t>Giant, Neterese languages
Dark Advantage +3d6
Draconic Majesty (+Cha to AC)
Immolation
Legendary Resistance (1/Day)
Greatsword (Hazirawn) +2d6 necrotic damage, can't regain hp 1 min, DC 15 Con ST negates</t>
  </si>
  <si>
    <t xml:space="preserve">Caustic Bolt + 8 to hit, 90 ft, 4d8 damage
</t>
  </si>
  <si>
    <t>Entrance</t>
  </si>
  <si>
    <t>HP (for roll)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</si>
</sst>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р_._-;\-* #,##0.00_р_._-;_-* &quot;-&quot;??_р_._-;_-@_-"/>
    <numFmt numFmtId="165" formatCode="\+0;\-0"/>
    <numFmt numFmtId="166" formatCode="\(0\)"/>
    <numFmt numFmtId="167" formatCode="\+0"/>
  </numFmts>
  <fonts count="32" x14ac:knownFonts="1">
    <font>
      <sz val="11"/>
      <color theme="1"/>
      <name val="Calibri"/>
      <family val="2"/>
      <charset val="204"/>
      <scheme val="minor"/>
    </font>
    <font>
      <sz val="11"/>
      <color theme="1"/>
      <name val="Calibri"/>
      <family val="2"/>
      <charset val="204"/>
      <scheme val="minor"/>
    </font>
    <font>
      <b/>
      <sz val="11"/>
      <color theme="1"/>
      <name val="Calibri"/>
      <family val="2"/>
      <scheme val="minor"/>
    </font>
    <font>
      <b/>
      <sz val="14"/>
      <color theme="1"/>
      <name val="Calibri"/>
      <family val="2"/>
      <scheme val="minor"/>
    </font>
    <font>
      <u/>
      <sz val="11"/>
      <color theme="10"/>
      <name val="Calibri"/>
      <family val="2"/>
      <scheme val="minor"/>
    </font>
    <font>
      <sz val="11"/>
      <color rgb="FFFF0000"/>
      <name val="Calibri"/>
      <family val="2"/>
      <charset val="204"/>
      <scheme val="minor"/>
    </font>
    <font>
      <sz val="11"/>
      <color rgb="FFFFFFCC"/>
      <name val="Calibri"/>
      <family val="2"/>
      <charset val="204"/>
      <scheme val="minor"/>
    </font>
    <font>
      <sz val="11"/>
      <name val="Calibri"/>
      <family val="2"/>
      <charset val="204"/>
      <scheme val="minor"/>
    </font>
    <font>
      <sz val="11"/>
      <color theme="1"/>
      <name val="Calibri"/>
      <family val="2"/>
      <scheme val="minor"/>
    </font>
    <font>
      <b/>
      <sz val="11"/>
      <color theme="0"/>
      <name val="Calibri"/>
      <family val="2"/>
      <scheme val="minor"/>
    </font>
    <font>
      <sz val="11"/>
      <color theme="3" tint="0.39994506668294322"/>
      <name val="Calibri"/>
      <family val="2"/>
      <scheme val="minor"/>
    </font>
    <font>
      <sz val="11"/>
      <color rgb="FFFFFFCC"/>
      <name val="Calibri"/>
      <family val="2"/>
      <scheme val="minor"/>
    </font>
    <font>
      <sz val="14"/>
      <color rgb="FF0066CC"/>
      <name val="Garamond"/>
      <family val="1"/>
      <charset val="204"/>
    </font>
    <font>
      <vertAlign val="superscript"/>
      <sz val="11"/>
      <color rgb="FF000000"/>
      <name val="Calibri"/>
      <family val="2"/>
      <charset val="204"/>
    </font>
    <font>
      <b/>
      <sz val="11"/>
      <color theme="1"/>
      <name val="Calibri"/>
      <family val="2"/>
      <charset val="204"/>
      <scheme val="minor"/>
    </font>
    <font>
      <b/>
      <sz val="11"/>
      <color theme="1"/>
      <name val="Palatino Linotype"/>
      <family val="1"/>
      <charset val="204"/>
    </font>
    <font>
      <b/>
      <sz val="20"/>
      <color theme="1"/>
      <name val="Palatino Linotype"/>
      <family val="1"/>
      <charset val="204"/>
    </font>
    <font>
      <sz val="14"/>
      <color theme="0" tint="-4.9989318521683403E-2"/>
      <name val="Palatino Linotype"/>
      <family val="1"/>
      <charset val="204"/>
    </font>
    <font>
      <sz val="11"/>
      <color theme="1"/>
      <name val="Palatino Linotype"/>
      <family val="1"/>
      <charset val="204"/>
    </font>
    <font>
      <b/>
      <sz val="11"/>
      <color theme="1"/>
      <name val="Monotype Corsiva"/>
      <family val="4"/>
      <charset val="204"/>
    </font>
    <font>
      <b/>
      <sz val="18"/>
      <color theme="1"/>
      <name val="Palatino Linotype"/>
      <family val="1"/>
      <charset val="204"/>
    </font>
    <font>
      <sz val="14"/>
      <color theme="1"/>
      <name val="Palatino Linotype"/>
      <family val="1"/>
      <charset val="204"/>
    </font>
    <font>
      <sz val="20"/>
      <color theme="1"/>
      <name val="Palatino Linotype"/>
      <family val="1"/>
      <charset val="204"/>
    </font>
    <font>
      <b/>
      <sz val="14"/>
      <color theme="1"/>
      <name val="Palatino Linotype"/>
      <family val="1"/>
      <charset val="204"/>
    </font>
    <font>
      <b/>
      <sz val="11"/>
      <color theme="0"/>
      <name val="Monotype Corsiva"/>
      <family val="4"/>
      <charset val="204"/>
    </font>
    <font>
      <b/>
      <sz val="12"/>
      <color theme="1"/>
      <name val="Calibri"/>
      <family val="2"/>
      <charset val="204"/>
      <scheme val="minor"/>
    </font>
    <font>
      <b/>
      <sz val="12"/>
      <color theme="0"/>
      <name val="Monotype Corsiva"/>
      <family val="4"/>
      <charset val="204"/>
    </font>
    <font>
      <i/>
      <sz val="11"/>
      <color theme="1"/>
      <name val="Calibri"/>
      <family val="2"/>
      <charset val="204"/>
      <scheme val="minor"/>
    </font>
    <font>
      <b/>
      <sz val="26"/>
      <color theme="1"/>
      <name val="Palatino Linotype"/>
      <family val="1"/>
      <charset val="204"/>
    </font>
    <font>
      <b/>
      <sz val="12"/>
      <color theme="0"/>
      <name val="Century Gothic"/>
      <family val="2"/>
      <charset val="204"/>
    </font>
    <font>
      <b/>
      <sz val="16"/>
      <color theme="1"/>
      <name val="Palatino Linotype"/>
      <family val="1"/>
      <charset val="204"/>
    </font>
    <font>
      <b/>
      <sz val="12"/>
      <color theme="1"/>
      <name val="Palatino Linotype"/>
      <family val="1"/>
      <charset val="204"/>
    </font>
  </fonts>
  <fills count="20">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0"/>
        <bgColor indexed="64"/>
      </patternFill>
    </fill>
    <fill>
      <patternFill patternType="solid">
        <fgColor theme="4" tint="-0.249977111117893"/>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rgb="FFFFFFDD"/>
        <bgColor indexed="64"/>
      </patternFill>
    </fill>
    <fill>
      <patternFill patternType="solid">
        <fgColor theme="0" tint="-0.14999847407452621"/>
        <bgColor indexed="64"/>
      </patternFill>
    </fill>
    <fill>
      <patternFill patternType="solid">
        <fgColor rgb="FFCCFFCC"/>
        <bgColor indexed="64"/>
      </patternFill>
    </fill>
    <fill>
      <patternFill patternType="solid">
        <fgColor theme="2"/>
        <bgColor indexed="64"/>
      </patternFill>
    </fill>
    <fill>
      <patternFill patternType="solid">
        <fgColor theme="1"/>
        <bgColor indexed="64"/>
      </patternFill>
    </fill>
    <fill>
      <patternFill patternType="solid">
        <fgColor theme="2" tint="-9.9978637043366805E-2"/>
        <bgColor indexed="64"/>
      </patternFill>
    </fill>
    <fill>
      <patternFill patternType="solid">
        <fgColor rgb="FFFFFF66"/>
        <bgColor indexed="64"/>
      </patternFill>
    </fill>
    <fill>
      <patternFill patternType="solid">
        <fgColor theme="9" tint="0.39997558519241921"/>
        <bgColor indexed="64"/>
      </patternFill>
    </fill>
    <fill>
      <patternFill patternType="solid">
        <fgColor rgb="FFFFFF00"/>
        <bgColor indexed="64"/>
      </patternFill>
    </fill>
    <fill>
      <patternFill patternType="solid">
        <fgColor theme="5" tint="0.59999389629810485"/>
        <bgColor indexed="64"/>
      </patternFill>
    </fill>
    <fill>
      <patternFill patternType="solid">
        <fgColor rgb="FFFFC000"/>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thick">
        <color indexed="64"/>
      </right>
      <top/>
      <bottom style="thick">
        <color indexed="64"/>
      </bottom>
      <diagonal/>
    </border>
    <border>
      <left style="thick">
        <color indexed="64"/>
      </left>
      <right style="thick">
        <color indexed="64"/>
      </right>
      <top/>
      <bottom style="thick">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style="thin">
        <color indexed="64"/>
      </right>
      <top style="thick">
        <color indexed="64"/>
      </top>
      <bottom style="thick">
        <color indexed="64"/>
      </bottom>
      <diagonal/>
    </border>
    <border>
      <left/>
      <right style="thin">
        <color indexed="64"/>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ck">
        <color indexed="64"/>
      </left>
      <right/>
      <top/>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s>
  <cellStyleXfs count="5">
    <xf numFmtId="0" fontId="0" fillId="0" borderId="0"/>
    <xf numFmtId="9" fontId="1" fillId="0" borderId="0" applyFont="0" applyFill="0" applyBorder="0" applyAlignment="0" applyProtection="0"/>
    <xf numFmtId="0" fontId="4" fillId="0" borderId="0" applyNumberFormat="0" applyFill="0" applyBorder="0" applyAlignment="0" applyProtection="0"/>
    <xf numFmtId="0" fontId="8" fillId="0" borderId="0"/>
    <xf numFmtId="164" fontId="1" fillId="0" borderId="0" applyFont="0" applyFill="0" applyBorder="0" applyAlignment="0" applyProtection="0"/>
  </cellStyleXfs>
  <cellXfs count="298">
    <xf numFmtId="0" fontId="0" fillId="0" borderId="0" xfId="0"/>
    <xf numFmtId="0" fontId="0" fillId="0" borderId="1" xfId="0" applyBorder="1"/>
    <xf numFmtId="0" fontId="0" fillId="0" borderId="15" xfId="0" applyBorder="1"/>
    <xf numFmtId="0" fontId="0" fillId="0" borderId="30" xfId="0" applyBorder="1"/>
    <xf numFmtId="0" fontId="0" fillId="0" borderId="8" xfId="0" applyBorder="1"/>
    <xf numFmtId="0" fontId="0" fillId="0" borderId="14" xfId="0" applyBorder="1"/>
    <xf numFmtId="0" fontId="0" fillId="0" borderId="9" xfId="0" applyBorder="1"/>
    <xf numFmtId="0" fontId="0" fillId="0" borderId="10" xfId="0" applyBorder="1"/>
    <xf numFmtId="0" fontId="0" fillId="0" borderId="11" xfId="0" applyBorder="1"/>
    <xf numFmtId="3" fontId="0" fillId="0" borderId="1" xfId="0" applyNumberFormat="1" applyBorder="1"/>
    <xf numFmtId="3" fontId="0" fillId="0" borderId="11" xfId="0" applyNumberFormat="1" applyBorder="1"/>
    <xf numFmtId="0" fontId="0" fillId="0" borderId="12" xfId="0" applyBorder="1"/>
    <xf numFmtId="3" fontId="0" fillId="0" borderId="15" xfId="0" applyNumberFormat="1" applyBorder="1"/>
    <xf numFmtId="3" fontId="0" fillId="0" borderId="13" xfId="0" applyNumberFormat="1" applyBorder="1"/>
    <xf numFmtId="12" fontId="0" fillId="0" borderId="0" xfId="0" applyNumberFormat="1"/>
    <xf numFmtId="0" fontId="2" fillId="0" borderId="1" xfId="0" applyFont="1" applyBorder="1"/>
    <xf numFmtId="0" fontId="2" fillId="0" borderId="15" xfId="0" applyFont="1" applyBorder="1"/>
    <xf numFmtId="0" fontId="0" fillId="0" borderId="13" xfId="0" applyBorder="1"/>
    <xf numFmtId="0" fontId="0" fillId="0" borderId="26" xfId="0" applyBorder="1"/>
    <xf numFmtId="0" fontId="0" fillId="0" borderId="27" xfId="0" applyBorder="1"/>
    <xf numFmtId="0" fontId="0" fillId="0" borderId="6" xfId="0" applyBorder="1"/>
    <xf numFmtId="0" fontId="0" fillId="0" borderId="0" xfId="0" applyBorder="1"/>
    <xf numFmtId="0" fontId="0" fillId="0" borderId="7" xfId="0" applyBorder="1"/>
    <xf numFmtId="0" fontId="0" fillId="0" borderId="28" xfId="0" applyBorder="1"/>
    <xf numFmtId="0" fontId="0" fillId="0" borderId="25" xfId="0" applyBorder="1"/>
    <xf numFmtId="0" fontId="0" fillId="0" borderId="29" xfId="0" applyBorder="1"/>
    <xf numFmtId="12" fontId="3" fillId="0" borderId="0" xfId="0" applyNumberFormat="1" applyFont="1" applyAlignment="1">
      <alignment horizontal="left"/>
    </xf>
    <xf numFmtId="0" fontId="3" fillId="0" borderId="0" xfId="0" applyFont="1" applyAlignment="1">
      <alignment horizontal="left"/>
    </xf>
    <xf numFmtId="0" fontId="3" fillId="4" borderId="0" xfId="0" applyFont="1" applyFill="1" applyAlignment="1">
      <alignment horizontal="left"/>
    </xf>
    <xf numFmtId="0" fontId="0" fillId="4" borderId="0" xfId="0" applyFill="1"/>
    <xf numFmtId="12" fontId="0" fillId="4" borderId="0" xfId="0" applyNumberFormat="1" applyFill="1"/>
    <xf numFmtId="12" fontId="0" fillId="0" borderId="0" xfId="0" applyNumberFormat="1" applyAlignment="1">
      <alignment horizontal="left"/>
    </xf>
    <xf numFmtId="0" fontId="0" fillId="0" borderId="0" xfId="0" applyAlignment="1">
      <alignment horizontal="left"/>
    </xf>
    <xf numFmtId="0" fontId="4" fillId="4" borderId="0" xfId="2" applyFill="1"/>
    <xf numFmtId="0" fontId="2" fillId="4" borderId="0" xfId="0" applyFont="1" applyFill="1"/>
    <xf numFmtId="0" fontId="0" fillId="4" borderId="0" xfId="0" applyFill="1" applyAlignment="1">
      <alignment horizontal="left"/>
    </xf>
    <xf numFmtId="12" fontId="4" fillId="0" borderId="0" xfId="2" applyNumberFormat="1" applyAlignment="1">
      <alignment horizontal="left"/>
    </xf>
    <xf numFmtId="16" fontId="0" fillId="0" borderId="0" xfId="0" applyNumberFormat="1" applyAlignment="1">
      <alignment horizontal="left"/>
    </xf>
    <xf numFmtId="17" fontId="0" fillId="0" borderId="0" xfId="0" applyNumberFormat="1"/>
    <xf numFmtId="0" fontId="0" fillId="0" borderId="33" xfId="0" applyBorder="1"/>
    <xf numFmtId="0" fontId="0" fillId="0" borderId="34" xfId="0" applyBorder="1"/>
    <xf numFmtId="0" fontId="0" fillId="0" borderId="35" xfId="0" applyBorder="1"/>
    <xf numFmtId="0" fontId="0" fillId="0" borderId="5" xfId="0" applyBorder="1"/>
    <xf numFmtId="0" fontId="0" fillId="0" borderId="37" xfId="0" applyBorder="1"/>
    <xf numFmtId="0" fontId="0" fillId="0" borderId="38" xfId="0" applyBorder="1"/>
    <xf numFmtId="0" fontId="0" fillId="0" borderId="39" xfId="0" applyBorder="1"/>
    <xf numFmtId="0" fontId="0" fillId="0" borderId="40" xfId="0" applyBorder="1"/>
    <xf numFmtId="0" fontId="0" fillId="0" borderId="41" xfId="0" applyBorder="1"/>
    <xf numFmtId="3" fontId="0" fillId="0" borderId="41" xfId="0" applyNumberFormat="1" applyBorder="1"/>
    <xf numFmtId="3" fontId="0" fillId="0" borderId="42" xfId="0" applyNumberFormat="1" applyBorder="1"/>
    <xf numFmtId="0" fontId="2" fillId="0" borderId="30" xfId="0" applyFont="1" applyBorder="1"/>
    <xf numFmtId="0" fontId="0" fillId="0" borderId="22" xfId="0" applyBorder="1"/>
    <xf numFmtId="0" fontId="0" fillId="0" borderId="31" xfId="0" quotePrefix="1" applyNumberFormat="1" applyBorder="1"/>
    <xf numFmtId="0" fontId="0" fillId="0" borderId="3" xfId="0" applyNumberFormat="1" applyBorder="1"/>
    <xf numFmtId="0" fontId="0" fillId="0" borderId="18" xfId="0" quotePrefix="1" applyNumberFormat="1" applyBorder="1"/>
    <xf numFmtId="0" fontId="2" fillId="0" borderId="4" xfId="0" applyFont="1" applyBorder="1"/>
    <xf numFmtId="0" fontId="2" fillId="0" borderId="5" xfId="0" applyFont="1" applyBorder="1"/>
    <xf numFmtId="0" fontId="2" fillId="0" borderId="36" xfId="0" applyFont="1" applyBorder="1"/>
    <xf numFmtId="12" fontId="0" fillId="0" borderId="2" xfId="0" applyNumberFormat="1" applyBorder="1"/>
    <xf numFmtId="0" fontId="0" fillId="0" borderId="31" xfId="0" applyBorder="1"/>
    <xf numFmtId="0" fontId="0" fillId="0" borderId="3" xfId="0" applyBorder="1"/>
    <xf numFmtId="12" fontId="0" fillId="0" borderId="21" xfId="0" applyNumberFormat="1" applyBorder="1"/>
    <xf numFmtId="12" fontId="0" fillId="0" borderId="10" xfId="0" quotePrefix="1" applyNumberFormat="1" applyBorder="1"/>
    <xf numFmtId="12" fontId="0" fillId="0" borderId="10" xfId="0" applyNumberFormat="1" applyBorder="1"/>
    <xf numFmtId="12" fontId="0" fillId="0" borderId="12" xfId="0" applyNumberFormat="1" applyBorder="1"/>
    <xf numFmtId="0" fontId="0" fillId="0" borderId="48" xfId="0" applyBorder="1"/>
    <xf numFmtId="0" fontId="0" fillId="0" borderId="23" xfId="0" applyBorder="1"/>
    <xf numFmtId="0" fontId="0" fillId="3" borderId="2" xfId="0" applyFill="1" applyBorder="1"/>
    <xf numFmtId="0" fontId="0" fillId="3" borderId="3" xfId="0" applyFill="1" applyBorder="1"/>
    <xf numFmtId="0" fontId="0" fillId="3" borderId="45" xfId="0" applyFill="1" applyBorder="1"/>
    <xf numFmtId="0" fontId="0" fillId="0" borderId="49" xfId="0" applyBorder="1"/>
    <xf numFmtId="0" fontId="0" fillId="0" borderId="50" xfId="0" applyBorder="1"/>
    <xf numFmtId="0" fontId="0" fillId="3" borderId="47" xfId="0" applyFill="1" applyBorder="1"/>
    <xf numFmtId="0" fontId="0" fillId="0" borderId="51" xfId="0" applyBorder="1"/>
    <xf numFmtId="0" fontId="0" fillId="0" borderId="21" xfId="0" applyBorder="1"/>
    <xf numFmtId="0" fontId="0" fillId="3" borderId="31" xfId="0" applyFill="1" applyBorder="1"/>
    <xf numFmtId="0" fontId="0" fillId="0" borderId="2" xfId="0" applyBorder="1"/>
    <xf numFmtId="0" fontId="0" fillId="0" borderId="52" xfId="0" applyBorder="1"/>
    <xf numFmtId="0" fontId="0" fillId="0" borderId="30" xfId="0" applyBorder="1" applyAlignment="1">
      <alignment horizontal="left"/>
    </xf>
    <xf numFmtId="0" fontId="0" fillId="0" borderId="55" xfId="0" applyBorder="1"/>
    <xf numFmtId="0" fontId="0" fillId="3" borderId="19" xfId="0" applyFill="1" applyBorder="1"/>
    <xf numFmtId="0" fontId="0" fillId="0" borderId="24" xfId="0" applyBorder="1"/>
    <xf numFmtId="0" fontId="0" fillId="3" borderId="0" xfId="0" applyFill="1" applyBorder="1"/>
    <xf numFmtId="0" fontId="6" fillId="3" borderId="0" xfId="0" applyFont="1" applyFill="1" applyBorder="1"/>
    <xf numFmtId="0" fontId="7" fillId="3" borderId="0" xfId="0" applyFont="1" applyFill="1" applyBorder="1"/>
    <xf numFmtId="0" fontId="7" fillId="0" borderId="0" xfId="0" applyFont="1"/>
    <xf numFmtId="0" fontId="7" fillId="0" borderId="30" xfId="0" applyFont="1" applyBorder="1"/>
    <xf numFmtId="0" fontId="7" fillId="0" borderId="1" xfId="0" applyFont="1" applyBorder="1"/>
    <xf numFmtId="0" fontId="7" fillId="6" borderId="1" xfId="0" applyFont="1" applyFill="1" applyBorder="1"/>
    <xf numFmtId="0" fontId="7" fillId="0" borderId="54" xfId="0" applyFont="1" applyBorder="1"/>
    <xf numFmtId="0" fontId="7" fillId="7" borderId="1" xfId="0" applyFont="1" applyFill="1" applyBorder="1"/>
    <xf numFmtId="0" fontId="7" fillId="3" borderId="0" xfId="0" applyFont="1" applyFill="1"/>
    <xf numFmtId="0" fontId="8" fillId="0" borderId="0" xfId="3"/>
    <xf numFmtId="0" fontId="8" fillId="5" borderId="0" xfId="3" applyFill="1" applyBorder="1"/>
    <xf numFmtId="0" fontId="8" fillId="5" borderId="0" xfId="3" applyFill="1"/>
    <xf numFmtId="1" fontId="7" fillId="0" borderId="1" xfId="0" applyNumberFormat="1" applyFont="1" applyBorder="1"/>
    <xf numFmtId="0" fontId="7" fillId="0" borderId="48" xfId="0" applyFont="1" applyBorder="1"/>
    <xf numFmtId="0" fontId="7" fillId="6" borderId="30" xfId="0" applyFont="1" applyFill="1" applyBorder="1"/>
    <xf numFmtId="0" fontId="7" fillId="0" borderId="23" xfId="0" applyFont="1" applyBorder="1"/>
    <xf numFmtId="0" fontId="7" fillId="0" borderId="47" xfId="0" applyFont="1" applyBorder="1"/>
    <xf numFmtId="0" fontId="7" fillId="0" borderId="47" xfId="0" applyFont="1" applyFill="1" applyBorder="1"/>
    <xf numFmtId="0" fontId="7" fillId="6" borderId="50" xfId="0" applyFont="1" applyFill="1" applyBorder="1"/>
    <xf numFmtId="0" fontId="8" fillId="3" borderId="61" xfId="3" applyFill="1" applyBorder="1" applyProtection="1">
      <protection locked="0"/>
    </xf>
    <xf numFmtId="0" fontId="8" fillId="3" borderId="62" xfId="3" applyFill="1" applyBorder="1" applyProtection="1">
      <protection locked="0"/>
    </xf>
    <xf numFmtId="0" fontId="8" fillId="3" borderId="63" xfId="3" applyFill="1" applyBorder="1" applyProtection="1">
      <protection locked="0"/>
    </xf>
    <xf numFmtId="0" fontId="8" fillId="3" borderId="68" xfId="3" applyFill="1" applyBorder="1" applyProtection="1">
      <protection locked="0"/>
    </xf>
    <xf numFmtId="0" fontId="8" fillId="3" borderId="0" xfId="3" applyFill="1" applyBorder="1" applyProtection="1">
      <protection locked="0"/>
    </xf>
    <xf numFmtId="0" fontId="8" fillId="3" borderId="60" xfId="3" applyFill="1" applyBorder="1" applyProtection="1">
      <protection locked="0"/>
    </xf>
    <xf numFmtId="0" fontId="8" fillId="3" borderId="58" xfId="3" applyFill="1" applyBorder="1" applyProtection="1">
      <protection locked="0"/>
    </xf>
    <xf numFmtId="0" fontId="8" fillId="3" borderId="59" xfId="3" applyFill="1" applyBorder="1" applyProtection="1">
      <protection locked="0"/>
    </xf>
    <xf numFmtId="0" fontId="8" fillId="3" borderId="56" xfId="3" applyFill="1" applyBorder="1" applyProtection="1">
      <protection locked="0"/>
    </xf>
    <xf numFmtId="0" fontId="8" fillId="3" borderId="62" xfId="3" applyFill="1" applyBorder="1"/>
    <xf numFmtId="0" fontId="8" fillId="3" borderId="63" xfId="3" applyFill="1" applyBorder="1"/>
    <xf numFmtId="0" fontId="8" fillId="3" borderId="58" xfId="3" applyFill="1" applyBorder="1"/>
    <xf numFmtId="0" fontId="8" fillId="3" borderId="59" xfId="3" applyFill="1" applyBorder="1"/>
    <xf numFmtId="0" fontId="8" fillId="3" borderId="56" xfId="3" applyFill="1" applyBorder="1"/>
    <xf numFmtId="0" fontId="8" fillId="3" borderId="0" xfId="3" applyFill="1"/>
    <xf numFmtId="0" fontId="8" fillId="3" borderId="64" xfId="3" applyFill="1" applyBorder="1" applyProtection="1">
      <protection locked="0"/>
    </xf>
    <xf numFmtId="0" fontId="8" fillId="3" borderId="65" xfId="3" applyFill="1" applyBorder="1" applyProtection="1">
      <protection locked="0"/>
    </xf>
    <xf numFmtId="0" fontId="8" fillId="3" borderId="66" xfId="3" applyFill="1" applyBorder="1"/>
    <xf numFmtId="0" fontId="8" fillId="3" borderId="67" xfId="3" applyFill="1" applyBorder="1" applyProtection="1">
      <protection locked="0"/>
    </xf>
    <xf numFmtId="0" fontId="9" fillId="8" borderId="57" xfId="3" applyFont="1" applyFill="1" applyBorder="1"/>
    <xf numFmtId="0" fontId="2" fillId="2" borderId="57" xfId="3" applyFont="1" applyFill="1" applyBorder="1"/>
    <xf numFmtId="0" fontId="10" fillId="9" borderId="0" xfId="3" applyNumberFormat="1" applyFont="1" applyFill="1"/>
    <xf numFmtId="0" fontId="8" fillId="9" borderId="0" xfId="3" applyNumberFormat="1" applyFill="1"/>
    <xf numFmtId="0" fontId="8" fillId="9" borderId="0" xfId="3" applyNumberFormat="1" applyFill="1" applyProtection="1">
      <protection locked="0"/>
    </xf>
    <xf numFmtId="0" fontId="11" fillId="3" borderId="61" xfId="3" applyFont="1" applyFill="1" applyBorder="1"/>
    <xf numFmtId="0" fontId="15" fillId="2" borderId="1" xfId="0" applyFont="1" applyFill="1" applyBorder="1" applyAlignment="1">
      <alignment horizontal="center" vertical="center"/>
    </xf>
    <xf numFmtId="0" fontId="17" fillId="2" borderId="1" xfId="0" applyFont="1" applyFill="1" applyBorder="1" applyAlignment="1">
      <alignment vertical="center"/>
    </xf>
    <xf numFmtId="0" fontId="19" fillId="10" borderId="54" xfId="0" applyFont="1" applyFill="1" applyBorder="1" applyAlignment="1">
      <alignment horizontal="center"/>
    </xf>
    <xf numFmtId="0" fontId="0" fillId="0" borderId="49" xfId="0" applyBorder="1" applyAlignment="1">
      <alignment horizontal="center"/>
    </xf>
    <xf numFmtId="0" fontId="19" fillId="12" borderId="1" xfId="0" applyFont="1" applyFill="1" applyBorder="1" applyAlignment="1">
      <alignment vertical="center"/>
    </xf>
    <xf numFmtId="0" fontId="18" fillId="12" borderId="1" xfId="0" applyFont="1" applyFill="1" applyBorder="1" applyAlignment="1">
      <alignment vertical="center"/>
    </xf>
    <xf numFmtId="0" fontId="18" fillId="11" borderId="1" xfId="0" applyFont="1" applyFill="1" applyBorder="1" applyAlignment="1">
      <alignment vertical="center"/>
    </xf>
    <xf numFmtId="0" fontId="19" fillId="12" borderId="1" xfId="0" applyFont="1" applyFill="1" applyBorder="1"/>
    <xf numFmtId="0" fontId="18" fillId="12" borderId="1" xfId="0" applyFont="1" applyFill="1" applyBorder="1" applyAlignment="1"/>
    <xf numFmtId="0" fontId="18" fillId="11" borderId="48" xfId="0" applyFont="1" applyFill="1" applyBorder="1" applyAlignment="1"/>
    <xf numFmtId="0" fontId="18" fillId="11" borderId="1" xfId="0" applyFont="1" applyFill="1" applyBorder="1" applyAlignment="1"/>
    <xf numFmtId="0" fontId="0" fillId="11" borderId="15" xfId="0" applyFill="1" applyBorder="1"/>
    <xf numFmtId="0" fontId="0" fillId="11" borderId="13" xfId="0" applyFill="1" applyBorder="1"/>
    <xf numFmtId="0" fontId="0" fillId="0" borderId="1" xfId="0" applyBorder="1" applyAlignment="1"/>
    <xf numFmtId="0" fontId="18" fillId="11" borderId="11" xfId="0" applyFont="1" applyFill="1" applyBorder="1" applyAlignment="1"/>
    <xf numFmtId="0" fontId="18" fillId="11" borderId="14" xfId="0" applyFont="1" applyFill="1" applyBorder="1" applyAlignment="1"/>
    <xf numFmtId="0" fontId="18" fillId="11" borderId="9" xfId="0" applyFont="1" applyFill="1" applyBorder="1" applyAlignment="1"/>
    <xf numFmtId="0" fontId="0" fillId="0" borderId="54" xfId="0" applyBorder="1" applyAlignment="1"/>
    <xf numFmtId="0" fontId="18" fillId="11" borderId="17" xfId="0" applyFont="1" applyFill="1" applyBorder="1" applyAlignment="1"/>
    <xf numFmtId="0" fontId="18" fillId="11" borderId="15" xfId="0" applyFont="1" applyFill="1" applyBorder="1" applyAlignment="1"/>
    <xf numFmtId="0" fontId="18" fillId="11" borderId="13" xfId="0" applyFont="1" applyFill="1" applyBorder="1" applyAlignment="1"/>
    <xf numFmtId="0" fontId="19" fillId="0" borderId="1" xfId="0" applyFont="1" applyBorder="1" applyAlignment="1"/>
    <xf numFmtId="0" fontId="19" fillId="0" borderId="1" xfId="0" applyFont="1" applyBorder="1"/>
    <xf numFmtId="0" fontId="19" fillId="0" borderId="48" xfId="0" applyFont="1" applyBorder="1"/>
    <xf numFmtId="167" fontId="0" fillId="0" borderId="1" xfId="0" applyNumberFormat="1" applyBorder="1" applyAlignment="1">
      <alignment horizontal="center" vertical="center"/>
    </xf>
    <xf numFmtId="0" fontId="0" fillId="0" borderId="73" xfId="0" applyBorder="1" applyAlignment="1"/>
    <xf numFmtId="0" fontId="14" fillId="0" borderId="0" xfId="0" applyFont="1"/>
    <xf numFmtId="0" fontId="23" fillId="18" borderId="1" xfId="0" applyFont="1" applyFill="1" applyBorder="1" applyAlignment="1">
      <alignment horizontal="center" vertical="center"/>
    </xf>
    <xf numFmtId="1" fontId="0" fillId="0" borderId="1" xfId="0" applyNumberFormat="1" applyBorder="1"/>
    <xf numFmtId="12" fontId="0" fillId="0" borderId="1" xfId="0" applyNumberFormat="1" applyBorder="1"/>
    <xf numFmtId="1" fontId="0" fillId="0" borderId="1" xfId="4" applyNumberFormat="1" applyFont="1" applyBorder="1"/>
    <xf numFmtId="0" fontId="0" fillId="15" borderId="1" xfId="0" applyFill="1" applyBorder="1"/>
    <xf numFmtId="0" fontId="29" fillId="13" borderId="1" xfId="0" applyFont="1" applyFill="1" applyBorder="1" applyAlignment="1">
      <alignment horizontal="center" vertical="center"/>
    </xf>
    <xf numFmtId="0" fontId="29" fillId="13" borderId="74" xfId="0" applyFont="1" applyFill="1" applyBorder="1" applyAlignment="1">
      <alignment vertical="center"/>
    </xf>
    <xf numFmtId="0" fontId="0" fillId="2" borderId="1" xfId="0" applyFill="1" applyBorder="1"/>
    <xf numFmtId="0" fontId="19" fillId="0" borderId="0" xfId="0" applyFont="1" applyFill="1" applyBorder="1"/>
    <xf numFmtId="0" fontId="0" fillId="15" borderId="48" xfId="0" applyFill="1" applyBorder="1"/>
    <xf numFmtId="0" fontId="0" fillId="19" borderId="0" xfId="0" applyFill="1"/>
    <xf numFmtId="0" fontId="0" fillId="0" borderId="1" xfId="0" applyFill="1" applyBorder="1"/>
    <xf numFmtId="0" fontId="0" fillId="0" borderId="75" xfId="0" applyBorder="1"/>
    <xf numFmtId="0" fontId="19" fillId="14" borderId="54" xfId="0" applyFont="1" applyFill="1" applyBorder="1" applyAlignment="1">
      <alignment horizontal="center"/>
    </xf>
    <xf numFmtId="0" fontId="14" fillId="0" borderId="8" xfId="0" applyFont="1" applyBorder="1" applyAlignment="1">
      <alignment horizontal="left" vertical="top" wrapText="1"/>
    </xf>
    <xf numFmtId="0" fontId="0" fillId="0" borderId="14"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5" xfId="0" applyBorder="1" applyAlignment="1">
      <alignment horizontal="left" vertical="top" wrapText="1"/>
    </xf>
    <xf numFmtId="0" fontId="0" fillId="0" borderId="13" xfId="0" applyBorder="1" applyAlignment="1">
      <alignment horizontal="left" vertical="top" wrapText="1"/>
    </xf>
    <xf numFmtId="0" fontId="24" fillId="13" borderId="70" xfId="0" applyFont="1" applyFill="1" applyBorder="1" applyAlignment="1">
      <alignment horizontal="center"/>
    </xf>
    <xf numFmtId="0" fontId="24" fillId="13" borderId="71" xfId="0" applyFont="1" applyFill="1" applyBorder="1" applyAlignment="1">
      <alignment horizontal="center"/>
    </xf>
    <xf numFmtId="0" fontId="24" fillId="13" borderId="72" xfId="0" applyFont="1" applyFill="1" applyBorder="1" applyAlignment="1">
      <alignment horizontal="center"/>
    </xf>
    <xf numFmtId="0" fontId="24" fillId="13" borderId="2" xfId="0" applyFont="1" applyFill="1" applyBorder="1" applyAlignment="1">
      <alignment horizontal="center"/>
    </xf>
    <xf numFmtId="0" fontId="24" fillId="13" borderId="31" xfId="0" applyFont="1" applyFill="1" applyBorder="1" applyAlignment="1">
      <alignment horizontal="center"/>
    </xf>
    <xf numFmtId="0" fontId="24" fillId="13" borderId="3" xfId="0" applyFont="1" applyFill="1" applyBorder="1" applyAlignment="1">
      <alignment horizontal="center"/>
    </xf>
    <xf numFmtId="0" fontId="19" fillId="0" borderId="1" xfId="0" applyFont="1" applyBorder="1" applyAlignment="1">
      <alignment horizontal="center"/>
    </xf>
    <xf numFmtId="0" fontId="0" fillId="0" borderId="48" xfId="0" applyBorder="1" applyAlignment="1">
      <alignment horizontal="center"/>
    </xf>
    <xf numFmtId="0" fontId="0" fillId="0" borderId="5" xfId="0" applyBorder="1" applyAlignment="1">
      <alignment horizontal="center"/>
    </xf>
    <xf numFmtId="0" fontId="0" fillId="0" borderId="1" xfId="0" applyBorder="1" applyAlignment="1">
      <alignment horizontal="center"/>
    </xf>
    <xf numFmtId="0" fontId="19" fillId="14" borderId="1" xfId="0" applyFont="1" applyFill="1" applyBorder="1" applyAlignment="1">
      <alignment horizontal="center"/>
    </xf>
    <xf numFmtId="0" fontId="18" fillId="11" borderId="48" xfId="0" applyFont="1" applyFill="1" applyBorder="1" applyAlignment="1">
      <alignment horizontal="center"/>
    </xf>
    <xf numFmtId="0" fontId="18" fillId="11" borderId="50" xfId="0" applyFont="1" applyFill="1" applyBorder="1" applyAlignment="1">
      <alignment horizontal="center"/>
    </xf>
    <xf numFmtId="0" fontId="0" fillId="0" borderId="21" xfId="0" applyBorder="1" applyAlignment="1">
      <alignment horizontal="center"/>
    </xf>
    <xf numFmtId="0" fontId="0" fillId="0" borderId="3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5" xfId="0" applyBorder="1" applyAlignment="1">
      <alignment horizontal="center"/>
    </xf>
    <xf numFmtId="0" fontId="0" fillId="0" borderId="13" xfId="0" applyBorder="1" applyAlignment="1">
      <alignment horizontal="center"/>
    </xf>
    <xf numFmtId="0" fontId="0" fillId="0" borderId="36" xfId="0" applyBorder="1" applyAlignment="1">
      <alignment horizontal="center"/>
    </xf>
    <xf numFmtId="0" fontId="0" fillId="0" borderId="16" xfId="0" applyBorder="1" applyAlignment="1">
      <alignment horizontal="center"/>
    </xf>
    <xf numFmtId="0" fontId="0" fillId="0" borderId="54" xfId="0" applyBorder="1" applyAlignment="1">
      <alignment horizontal="center"/>
    </xf>
    <xf numFmtId="0" fontId="0" fillId="0" borderId="10" xfId="0" applyBorder="1" applyAlignment="1">
      <alignment horizontal="center"/>
    </xf>
    <xf numFmtId="0" fontId="26" fillId="13" borderId="2" xfId="0" applyFont="1" applyFill="1" applyBorder="1" applyAlignment="1">
      <alignment horizontal="center"/>
    </xf>
    <xf numFmtId="0" fontId="26" fillId="13" borderId="31" xfId="0" applyFont="1" applyFill="1" applyBorder="1" applyAlignment="1">
      <alignment horizontal="center"/>
    </xf>
    <xf numFmtId="0" fontId="26" fillId="13" borderId="3" xfId="0" applyFont="1" applyFill="1" applyBorder="1" applyAlignment="1">
      <alignment horizontal="center"/>
    </xf>
    <xf numFmtId="0" fontId="0" fillId="0" borderId="69" xfId="0" applyBorder="1" applyAlignment="1">
      <alignment horizontal="center"/>
    </xf>
    <xf numFmtId="0" fontId="0" fillId="0" borderId="9" xfId="0" applyBorder="1" applyAlignment="1">
      <alignment horizontal="center"/>
    </xf>
    <xf numFmtId="0" fontId="0" fillId="0" borderId="8" xfId="0" applyBorder="1" applyAlignment="1">
      <alignment horizontal="center"/>
    </xf>
    <xf numFmtId="0" fontId="0" fillId="0" borderId="14" xfId="0" applyBorder="1" applyAlignment="1">
      <alignment horizontal="center"/>
    </xf>
    <xf numFmtId="0" fontId="25" fillId="12" borderId="8" xfId="0" applyFont="1" applyFill="1" applyBorder="1" applyAlignment="1">
      <alignment horizontal="center" vertical="center"/>
    </xf>
    <xf numFmtId="0" fontId="25" fillId="12" borderId="14" xfId="0" applyFont="1" applyFill="1" applyBorder="1" applyAlignment="1">
      <alignment horizontal="center" vertical="center"/>
    </xf>
    <xf numFmtId="0" fontId="25" fillId="12" borderId="10" xfId="0" applyFont="1" applyFill="1" applyBorder="1" applyAlignment="1">
      <alignment horizontal="center" vertical="center"/>
    </xf>
    <xf numFmtId="0" fontId="25" fillId="12" borderId="1" xfId="0" applyFont="1" applyFill="1" applyBorder="1" applyAlignment="1">
      <alignment horizontal="center" vertical="center"/>
    </xf>
    <xf numFmtId="0" fontId="0" fillId="2" borderId="14" xfId="0" applyFill="1" applyBorder="1" applyAlignment="1">
      <alignment horizontal="center" vertical="center"/>
    </xf>
    <xf numFmtId="0" fontId="0" fillId="2" borderId="1" xfId="0" applyFill="1" applyBorder="1" applyAlignment="1">
      <alignment horizontal="center" vertical="center"/>
    </xf>
    <xf numFmtId="0" fontId="18" fillId="11" borderId="9" xfId="0" applyFont="1" applyFill="1" applyBorder="1" applyAlignment="1">
      <alignment horizontal="center" vertical="center"/>
    </xf>
    <xf numFmtId="0" fontId="18" fillId="11" borderId="11" xfId="0" applyFont="1" applyFill="1" applyBorder="1" applyAlignment="1">
      <alignment horizontal="center" vertical="center"/>
    </xf>
    <xf numFmtId="0" fontId="19" fillId="10" borderId="12" xfId="0" applyFont="1" applyFill="1" applyBorder="1" applyAlignment="1">
      <alignment horizontal="center" vertical="center"/>
    </xf>
    <xf numFmtId="0" fontId="19" fillId="10" borderId="13" xfId="0" applyFont="1" applyFill="1" applyBorder="1" applyAlignment="1">
      <alignment horizontal="center" vertical="center"/>
    </xf>
    <xf numFmtId="0" fontId="19" fillId="10" borderId="36"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9" xfId="0" applyFont="1" applyFill="1" applyBorder="1" applyAlignment="1">
      <alignment horizontal="center" vertical="center"/>
    </xf>
    <xf numFmtId="0" fontId="20" fillId="12" borderId="10" xfId="0" applyFont="1" applyFill="1" applyBorder="1" applyAlignment="1">
      <alignment horizontal="center" vertical="center"/>
    </xf>
    <xf numFmtId="0" fontId="20" fillId="12" borderId="11" xfId="0" applyFont="1" applyFill="1" applyBorder="1" applyAlignment="1">
      <alignment horizontal="center" vertical="center"/>
    </xf>
    <xf numFmtId="0" fontId="20" fillId="12" borderId="5" xfId="0" applyFont="1" applyFill="1" applyBorder="1" applyAlignment="1">
      <alignment horizontal="center" vertical="center"/>
    </xf>
    <xf numFmtId="165" fontId="21" fillId="12" borderId="1" xfId="0" applyNumberFormat="1" applyFont="1" applyFill="1" applyBorder="1" applyAlignment="1">
      <alignment horizontal="center" vertical="center"/>
    </xf>
    <xf numFmtId="166" fontId="22" fillId="12" borderId="1" xfId="0" applyNumberFormat="1" applyFont="1" applyFill="1" applyBorder="1" applyAlignment="1">
      <alignment horizontal="center" vertical="center"/>
    </xf>
    <xf numFmtId="12" fontId="23" fillId="3" borderId="1" xfId="0" applyNumberFormat="1" applyFont="1" applyFill="1" applyBorder="1" applyAlignment="1">
      <alignment horizontal="center" vertical="center" wrapText="1"/>
    </xf>
    <xf numFmtId="0" fontId="19" fillId="10" borderId="54" xfId="0" applyFont="1" applyFill="1" applyBorder="1" applyAlignment="1">
      <alignment horizontal="center"/>
    </xf>
    <xf numFmtId="0" fontId="15" fillId="3" borderId="8" xfId="0" applyFont="1" applyFill="1" applyBorder="1" applyAlignment="1">
      <alignment horizontal="center" vertical="center"/>
    </xf>
    <xf numFmtId="0" fontId="19" fillId="10" borderId="1" xfId="0" applyFont="1" applyFill="1" applyBorder="1" applyAlignment="1">
      <alignment horizontal="center"/>
    </xf>
    <xf numFmtId="0" fontId="19" fillId="11" borderId="48" xfId="0" applyFont="1" applyFill="1" applyBorder="1" applyAlignment="1">
      <alignment horizontal="center"/>
    </xf>
    <xf numFmtId="0" fontId="19" fillId="11" borderId="50" xfId="0" applyFont="1" applyFill="1" applyBorder="1" applyAlignment="1">
      <alignment horizontal="center"/>
    </xf>
    <xf numFmtId="0" fontId="19" fillId="11" borderId="5" xfId="0" applyFont="1" applyFill="1" applyBorder="1" applyAlignment="1">
      <alignment horizontal="center"/>
    </xf>
    <xf numFmtId="0" fontId="16" fillId="3" borderId="1" xfId="0" applyFont="1" applyFill="1" applyBorder="1" applyAlignment="1">
      <alignment horizontal="center"/>
    </xf>
    <xf numFmtId="0" fontId="16" fillId="3" borderId="54" xfId="0" applyFont="1" applyFill="1" applyBorder="1" applyAlignment="1">
      <alignment horizontal="center"/>
    </xf>
    <xf numFmtId="0" fontId="16" fillId="3" borderId="30" xfId="0" applyFont="1" applyFill="1" applyBorder="1" applyAlignment="1">
      <alignment horizontal="center"/>
    </xf>
    <xf numFmtId="0" fontId="21" fillId="12" borderId="1" xfId="0" applyFont="1" applyFill="1" applyBorder="1" applyAlignment="1">
      <alignment horizontal="center" vertical="center"/>
    </xf>
    <xf numFmtId="0" fontId="16" fillId="0" borderId="1" xfId="0" applyFont="1" applyBorder="1" applyAlignment="1">
      <alignment horizontal="center" vertical="center"/>
    </xf>
    <xf numFmtId="0" fontId="18" fillId="3" borderId="1" xfId="0" applyFont="1" applyFill="1" applyBorder="1" applyAlignment="1">
      <alignment horizontal="center"/>
    </xf>
    <xf numFmtId="0" fontId="19" fillId="10" borderId="1" xfId="0" applyFont="1" applyFill="1" applyBorder="1" applyAlignment="1">
      <alignment horizontal="center" vertical="center"/>
    </xf>
    <xf numFmtId="0" fontId="20" fillId="3" borderId="1" xfId="0" applyFont="1" applyFill="1" applyBorder="1" applyAlignment="1">
      <alignment horizontal="center" vertical="center"/>
    </xf>
    <xf numFmtId="0" fontId="0" fillId="0" borderId="34" xfId="0" applyBorder="1" applyAlignment="1">
      <alignment horizontal="center"/>
    </xf>
    <xf numFmtId="0" fontId="0" fillId="0" borderId="50" xfId="0" applyBorder="1" applyAlignment="1">
      <alignment horizontal="center"/>
    </xf>
    <xf numFmtId="0" fontId="0" fillId="0" borderId="8" xfId="0" applyBorder="1" applyAlignment="1">
      <alignment horizontal="left" vertical="top"/>
    </xf>
    <xf numFmtId="0" fontId="0" fillId="0" borderId="14" xfId="0" applyBorder="1" applyAlignment="1">
      <alignment horizontal="left" vertical="top"/>
    </xf>
    <xf numFmtId="0" fontId="0" fillId="0" borderId="9" xfId="0" applyBorder="1" applyAlignment="1">
      <alignment horizontal="left" vertical="top"/>
    </xf>
    <xf numFmtId="0" fontId="0" fillId="0" borderId="10" xfId="0" applyBorder="1" applyAlignment="1">
      <alignment horizontal="left" vertical="top"/>
    </xf>
    <xf numFmtId="0" fontId="0" fillId="0" borderId="1" xfId="0" applyBorder="1"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5" xfId="0" applyBorder="1" applyAlignment="1">
      <alignment horizontal="left" vertical="top"/>
    </xf>
    <xf numFmtId="0" fontId="0" fillId="0" borderId="13" xfId="0" applyBorder="1" applyAlignment="1">
      <alignment horizontal="left" vertical="top"/>
    </xf>
    <xf numFmtId="0" fontId="0" fillId="0" borderId="8" xfId="0" applyBorder="1" applyAlignment="1">
      <alignment horizontal="left" vertical="top" wrapText="1"/>
    </xf>
    <xf numFmtId="0" fontId="16" fillId="0" borderId="1" xfId="0" applyFont="1" applyBorder="1" applyAlignment="1">
      <alignment horizontal="center"/>
    </xf>
    <xf numFmtId="0" fontId="0" fillId="0" borderId="0" xfId="0" applyFill="1" applyBorder="1" applyAlignment="1">
      <alignment horizontal="center"/>
    </xf>
    <xf numFmtId="0" fontId="14" fillId="15" borderId="49" xfId="0" applyFont="1" applyFill="1" applyBorder="1" applyAlignment="1">
      <alignment horizontal="center"/>
    </xf>
    <xf numFmtId="0" fontId="0" fillId="0" borderId="32" xfId="0" applyFill="1" applyBorder="1" applyAlignment="1">
      <alignment horizontal="center"/>
    </xf>
    <xf numFmtId="0" fontId="14" fillId="0" borderId="0" xfId="0" applyFont="1" applyAlignment="1">
      <alignment horizontal="center" vertical="center"/>
    </xf>
    <xf numFmtId="0" fontId="31" fillId="17" borderId="8" xfId="0" applyFont="1" applyFill="1" applyBorder="1" applyAlignment="1">
      <alignment horizontal="center" vertical="center"/>
    </xf>
    <xf numFmtId="0" fontId="31" fillId="17" borderId="9" xfId="0" applyFont="1" applyFill="1" applyBorder="1" applyAlignment="1">
      <alignment horizontal="center" vertical="center"/>
    </xf>
    <xf numFmtId="0" fontId="31" fillId="17" borderId="69" xfId="0" applyFont="1" applyFill="1" applyBorder="1" applyAlignment="1">
      <alignment horizontal="center" vertical="center"/>
    </xf>
    <xf numFmtId="12" fontId="14" fillId="2" borderId="1" xfId="0" applyNumberFormat="1" applyFont="1" applyFill="1" applyBorder="1" applyAlignment="1">
      <alignment horizontal="center" vertical="center" wrapText="1"/>
    </xf>
    <xf numFmtId="167" fontId="21" fillId="12" borderId="1" xfId="0" applyNumberFormat="1" applyFont="1" applyFill="1" applyBorder="1" applyAlignment="1">
      <alignment horizontal="center" vertical="center"/>
    </xf>
    <xf numFmtId="0" fontId="16" fillId="17" borderId="1" xfId="0" applyFont="1" applyFill="1" applyBorder="1" applyAlignment="1">
      <alignment horizontal="center" vertical="center" wrapText="1"/>
    </xf>
    <xf numFmtId="0" fontId="16" fillId="17" borderId="1" xfId="0" applyFont="1" applyFill="1" applyBorder="1" applyAlignment="1">
      <alignment horizontal="center" vertical="center"/>
    </xf>
    <xf numFmtId="0" fontId="30" fillId="3" borderId="1" xfId="0" applyFont="1" applyFill="1" applyBorder="1" applyAlignment="1">
      <alignment horizontal="center" vertical="center"/>
    </xf>
    <xf numFmtId="0" fontId="28" fillId="0" borderId="1" xfId="0" applyFont="1" applyBorder="1" applyAlignment="1">
      <alignment horizontal="center" vertical="center"/>
    </xf>
    <xf numFmtId="0" fontId="29" fillId="13" borderId="74" xfId="0" applyFont="1" applyFill="1" applyBorder="1" applyAlignment="1">
      <alignment horizontal="center" vertical="center"/>
    </xf>
    <xf numFmtId="0" fontId="29" fillId="13" borderId="0" xfId="0" applyFont="1" applyFill="1" applyBorder="1" applyAlignment="1">
      <alignment horizontal="center" vertical="center"/>
    </xf>
    <xf numFmtId="0" fontId="29" fillId="13" borderId="23" xfId="0" applyFont="1" applyFill="1" applyBorder="1" applyAlignment="1">
      <alignment horizontal="center" vertical="center"/>
    </xf>
    <xf numFmtId="0" fontId="29" fillId="13" borderId="49" xfId="0" applyFont="1" applyFill="1" applyBorder="1" applyAlignment="1">
      <alignment horizontal="center" vertical="center"/>
    </xf>
    <xf numFmtId="0" fontId="23" fillId="16" borderId="1" xfId="0" applyFont="1" applyFill="1" applyBorder="1" applyAlignment="1">
      <alignment horizontal="center"/>
    </xf>
    <xf numFmtId="0" fontId="23" fillId="17" borderId="1" xfId="0" applyFont="1" applyFill="1" applyBorder="1" applyAlignment="1">
      <alignment horizontal="center"/>
    </xf>
    <xf numFmtId="0" fontId="0" fillId="0" borderId="74" xfId="0" applyBorder="1" applyAlignment="1">
      <alignment horizontal="center"/>
    </xf>
    <xf numFmtId="0" fontId="0" fillId="0" borderId="0" xfId="0" applyAlignment="1">
      <alignment horizontal="center"/>
    </xf>
    <xf numFmtId="0" fontId="14" fillId="18" borderId="32" xfId="0" applyFont="1" applyFill="1" applyBorder="1" applyAlignment="1">
      <alignment horizontal="center"/>
    </xf>
    <xf numFmtId="0" fontId="18" fillId="17" borderId="1" xfId="0" applyFont="1" applyFill="1" applyBorder="1" applyAlignment="1">
      <alignment horizontal="center"/>
    </xf>
    <xf numFmtId="2" fontId="0" fillId="0" borderId="1" xfId="0" applyNumberFormat="1" applyBorder="1" applyAlignment="1">
      <alignment horizontal="center"/>
    </xf>
    <xf numFmtId="0" fontId="0" fillId="0" borderId="53" xfId="0" applyBorder="1" applyAlignment="1">
      <alignment horizontal="center"/>
    </xf>
    <xf numFmtId="0" fontId="0" fillId="0" borderId="32" xfId="0" applyBorder="1" applyAlignment="1">
      <alignment horizontal="center"/>
    </xf>
    <xf numFmtId="0" fontId="0" fillId="0" borderId="46" xfId="0" applyBorder="1" applyAlignment="1">
      <alignment horizontal="center"/>
    </xf>
    <xf numFmtId="2" fontId="5" fillId="0" borderId="1" xfId="1" applyNumberFormat="1" applyFont="1" applyBorder="1" applyAlignment="1">
      <alignment horizontal="center"/>
    </xf>
    <xf numFmtId="2" fontId="5" fillId="0" borderId="11" xfId="1" applyNumberFormat="1" applyFont="1" applyBorder="1" applyAlignment="1">
      <alignment horizontal="center"/>
    </xf>
    <xf numFmtId="0" fontId="0" fillId="0" borderId="8" xfId="0" applyFill="1" applyBorder="1" applyAlignment="1">
      <alignment horizontal="center"/>
    </xf>
    <xf numFmtId="0" fontId="0" fillId="0" borderId="14" xfId="0" applyFill="1" applyBorder="1" applyAlignment="1">
      <alignment horizontal="center"/>
    </xf>
    <xf numFmtId="0" fontId="0" fillId="0" borderId="10" xfId="0" applyFill="1" applyBorder="1" applyAlignment="1">
      <alignment horizontal="center"/>
    </xf>
    <xf numFmtId="0" fontId="0" fillId="0" borderId="1" xfId="0" applyFill="1" applyBorder="1" applyAlignment="1">
      <alignment horizontal="center"/>
    </xf>
    <xf numFmtId="0" fontId="0" fillId="0" borderId="19" xfId="0" applyBorder="1" applyAlignment="1">
      <alignment horizontal="center"/>
    </xf>
    <xf numFmtId="0" fontId="0" fillId="0" borderId="45" xfId="0" applyBorder="1" applyAlignment="1">
      <alignment horizontal="center"/>
    </xf>
    <xf numFmtId="0" fontId="0" fillId="0" borderId="20" xfId="0" applyBorder="1" applyAlignment="1">
      <alignment horizontal="center"/>
    </xf>
    <xf numFmtId="0" fontId="0" fillId="0" borderId="17" xfId="0" applyBorder="1" applyAlignment="1">
      <alignment horizontal="center"/>
    </xf>
    <xf numFmtId="2" fontId="0" fillId="0" borderId="15" xfId="0" applyNumberFormat="1" applyBorder="1" applyAlignment="1">
      <alignment horizontal="center"/>
    </xf>
    <xf numFmtId="0" fontId="0" fillId="0" borderId="43" xfId="0" applyBorder="1" applyAlignment="1">
      <alignment horizontal="center"/>
    </xf>
    <xf numFmtId="0" fontId="0" fillId="0" borderId="44" xfId="0" applyBorder="1" applyAlignment="1">
      <alignment horizontal="center"/>
    </xf>
    <xf numFmtId="2" fontId="0" fillId="0" borderId="1" xfId="1" applyNumberFormat="1" applyFont="1" applyBorder="1" applyAlignment="1">
      <alignment horizontal="center"/>
    </xf>
    <xf numFmtId="2" fontId="0" fillId="0" borderId="11" xfId="1" applyNumberFormat="1" applyFont="1" applyBorder="1" applyAlignment="1">
      <alignment horizontal="center"/>
    </xf>
    <xf numFmtId="0" fontId="7" fillId="0" borderId="1" xfId="0" applyFont="1" applyBorder="1" applyAlignment="1">
      <alignment horizontal="center"/>
    </xf>
    <xf numFmtId="0" fontId="7" fillId="0" borderId="50" xfId="0" applyFont="1" applyBorder="1" applyAlignment="1">
      <alignment horizontal="center"/>
    </xf>
    <xf numFmtId="0" fontId="7" fillId="0" borderId="5" xfId="0" applyFont="1" applyBorder="1" applyAlignment="1">
      <alignment horizontal="center"/>
    </xf>
  </cellXfs>
  <cellStyles count="5">
    <cellStyle name="Гиперссылка" xfId="2" builtinId="8"/>
    <cellStyle name="Обычный" xfId="0" builtinId="0"/>
    <cellStyle name="Обычный 2" xfId="3"/>
    <cellStyle name="Процентный" xfId="1" builtinId="5"/>
    <cellStyle name="Финансовый 2" xfId="4"/>
  </cellStyles>
  <dxfs count="0"/>
  <tableStyles count="0" defaultTableStyle="TableStyleMedium2" defaultPivotStyle="PivotStyleLight16"/>
  <colors>
    <mruColors>
      <color rgb="FFFFFFDD"/>
      <color rgb="FFFFFFCC"/>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ru-RU"/>
  <c:roundedCorners val="0"/>
  <mc:AlternateContent xmlns:mc="http://schemas.openxmlformats.org/markup-compatibility/2006">
    <mc:Choice xmlns:c14="http://schemas.microsoft.com/office/drawing/2007/8/2/chart" Requires="c14">
      <c14:style val="110"/>
    </mc:Choice>
    <mc:Fallback>
      <c:style val="10"/>
    </mc:Fallback>
  </mc:AlternateContent>
  <c:chart>
    <c:autoTitleDeleted val="0"/>
    <c:plotArea>
      <c:layout/>
      <c:pieChart>
        <c:varyColors val="1"/>
        <c:ser>
          <c:idx val="0"/>
          <c:order val="0"/>
          <c:explosion val="25"/>
          <c:cat>
            <c:strRef>
              <c:f>'[4]Monster Index'!$F$15:$F$28</c:f>
              <c:strCache>
                <c:ptCount val="14"/>
                <c:pt idx="0">
                  <c:v>Aberration</c:v>
                </c:pt>
                <c:pt idx="1">
                  <c:v>Beast</c:v>
                </c:pt>
                <c:pt idx="2">
                  <c:v>Celestial</c:v>
                </c:pt>
                <c:pt idx="3">
                  <c:v>Construct</c:v>
                </c:pt>
                <c:pt idx="4">
                  <c:v>Dragon</c:v>
                </c:pt>
                <c:pt idx="5">
                  <c:v>Elemental</c:v>
                </c:pt>
                <c:pt idx="6">
                  <c:v>Fey</c:v>
                </c:pt>
                <c:pt idx="7">
                  <c:v>Fiend</c:v>
                </c:pt>
                <c:pt idx="8">
                  <c:v>Giant</c:v>
                </c:pt>
                <c:pt idx="9">
                  <c:v>Humanoid</c:v>
                </c:pt>
                <c:pt idx="10">
                  <c:v>Monstrosity</c:v>
                </c:pt>
                <c:pt idx="11">
                  <c:v>Ooze</c:v>
                </c:pt>
                <c:pt idx="12">
                  <c:v>Plant</c:v>
                </c:pt>
                <c:pt idx="13">
                  <c:v>Undead</c:v>
                </c:pt>
              </c:strCache>
            </c:strRef>
          </c:cat>
          <c:val>
            <c:numRef>
              <c:f>'[4]Monster Index'!$G$15:$G$28</c:f>
              <c:numCache>
                <c:formatCode>General</c:formatCode>
                <c:ptCount val="14"/>
                <c:pt idx="0">
                  <c:v>21</c:v>
                </c:pt>
                <c:pt idx="1">
                  <c:v>191</c:v>
                </c:pt>
                <c:pt idx="2">
                  <c:v>8</c:v>
                </c:pt>
                <c:pt idx="3">
                  <c:v>22</c:v>
                </c:pt>
                <c:pt idx="4">
                  <c:v>52</c:v>
                </c:pt>
                <c:pt idx="5">
                  <c:v>28</c:v>
                </c:pt>
                <c:pt idx="6">
                  <c:v>10</c:v>
                </c:pt>
                <c:pt idx="7">
                  <c:v>35</c:v>
                </c:pt>
                <c:pt idx="8">
                  <c:v>20</c:v>
                </c:pt>
                <c:pt idx="9">
                  <c:v>99</c:v>
                </c:pt>
                <c:pt idx="10">
                  <c:v>75</c:v>
                </c:pt>
                <c:pt idx="11">
                  <c:v>6</c:v>
                </c:pt>
                <c:pt idx="12">
                  <c:v>20</c:v>
                </c:pt>
                <c:pt idx="13">
                  <c:v>40</c:v>
                </c:pt>
              </c:numCache>
            </c:numRef>
          </c:val>
        </c:ser>
        <c:dLbls>
          <c:showLegendKey val="0"/>
          <c:showVal val="0"/>
          <c:showCatName val="0"/>
          <c:showSerName val="0"/>
          <c:showPercent val="0"/>
          <c:showBubbleSize val="0"/>
          <c:showLeaderLines val="1"/>
        </c:dLbls>
        <c:firstSliceAng val="0"/>
      </c:pieChart>
    </c:plotArea>
    <c:legend>
      <c:legendPos val="r"/>
      <c:overlay val="0"/>
    </c:legend>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152400</xdr:colOff>
          <xdr:row>0</xdr:row>
          <xdr:rowOff>57150</xdr:rowOff>
        </xdr:from>
        <xdr:to>
          <xdr:col>17</xdr:col>
          <xdr:colOff>142875</xdr:colOff>
          <xdr:row>3</xdr:row>
          <xdr:rowOff>190500</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uk-UA" sz="1400" b="0" i="0" u="none" strike="noStrike" baseline="0">
                  <a:solidFill>
                    <a:srgbClr val="0066CC"/>
                  </a:solidFill>
                  <a:latin typeface="Garamond"/>
                </a:rPr>
                <a:t>Roll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228600</xdr:colOff>
          <xdr:row>1</xdr:row>
          <xdr:rowOff>66675</xdr:rowOff>
        </xdr:from>
        <xdr:to>
          <xdr:col>18</xdr:col>
          <xdr:colOff>590550</xdr:colOff>
          <xdr:row>3</xdr:row>
          <xdr:rowOff>76200</xdr:rowOff>
        </xdr:to>
        <xdr:sp macro="" textlink="">
          <xdr:nvSpPr>
            <xdr:cNvPr id="8194" name="Button 2" hidden="1">
              <a:extLst>
                <a:ext uri="{63B3BB69-23CF-44E3-9099-C40C66FF867C}">
                  <a14:compatExt spid="_x0000_s819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uk-UA" sz="1100" b="0" i="0" u="none" strike="noStrike" baseline="30000">
                  <a:solidFill>
                    <a:srgbClr val="000000"/>
                  </a:solidFill>
                  <a:latin typeface="Calibri"/>
                </a:rPr>
                <a:t>Clear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xdr:col>
      <xdr:colOff>581024</xdr:colOff>
      <xdr:row>12</xdr:row>
      <xdr:rowOff>0</xdr:rowOff>
    </xdr:from>
    <xdr:to>
      <xdr:col>15</xdr:col>
      <xdr:colOff>457199</xdr:colOff>
      <xdr:row>26</xdr:row>
      <xdr:rowOff>171450</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ise%20of%20Dragon%20Queen/&#1053;&#1086;&#1074;&#1072;&#1103;%20&#1087;&#1072;&#1087;&#1082;&#1072;%20(2)/&#1053;&#1086;&#1074;&#1072;&#1103;%20&#1087;&#1072;&#1087;&#1082;&#1072;/Monster%20CR%20Calculator.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MS%20When%20the%20Trees%20Are%20Teeth.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oss/Documents/D&amp;D/Campaigns/Heroes%20Wanted/TravelCamperCalculator.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EB&amp;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nster"/>
      <sheetName val="CRStats"/>
      <sheetName val="Size"/>
      <sheetName val="Type"/>
      <sheetName val="Alignment"/>
      <sheetName val="YesNo"/>
      <sheetName val="EffectiveHP"/>
      <sheetName val="Traits"/>
    </sheetNames>
    <sheetDataSet>
      <sheetData sheetId="0"/>
      <sheetData sheetId="1">
        <row r="3">
          <cell r="A3">
            <v>0</v>
          </cell>
          <cell r="B3">
            <v>2</v>
          </cell>
          <cell r="C3">
            <v>13</v>
          </cell>
          <cell r="D3">
            <v>1</v>
          </cell>
          <cell r="E3">
            <v>6</v>
          </cell>
          <cell r="F3">
            <v>3</v>
          </cell>
          <cell r="G3">
            <v>0</v>
          </cell>
          <cell r="H3">
            <v>1</v>
          </cell>
          <cell r="I3">
            <v>13</v>
          </cell>
          <cell r="J3">
            <v>10</v>
          </cell>
        </row>
        <row r="4">
          <cell r="A4">
            <v>0.125</v>
          </cell>
          <cell r="B4">
            <v>2</v>
          </cell>
          <cell r="C4">
            <v>13</v>
          </cell>
          <cell r="D4">
            <v>7</v>
          </cell>
          <cell r="E4">
            <v>35</v>
          </cell>
          <cell r="F4">
            <v>3</v>
          </cell>
          <cell r="G4">
            <v>2</v>
          </cell>
          <cell r="H4">
            <v>3</v>
          </cell>
          <cell r="I4">
            <v>13</v>
          </cell>
          <cell r="J4">
            <v>25</v>
          </cell>
        </row>
        <row r="5">
          <cell r="A5">
            <v>0.25</v>
          </cell>
          <cell r="B5">
            <v>2</v>
          </cell>
          <cell r="C5">
            <v>13</v>
          </cell>
          <cell r="D5">
            <v>36</v>
          </cell>
          <cell r="E5">
            <v>49</v>
          </cell>
          <cell r="F5">
            <v>3</v>
          </cell>
          <cell r="G5">
            <v>4</v>
          </cell>
          <cell r="H5">
            <v>5</v>
          </cell>
          <cell r="I5">
            <v>13</v>
          </cell>
          <cell r="J5">
            <v>50</v>
          </cell>
        </row>
        <row r="6">
          <cell r="A6">
            <v>0.5</v>
          </cell>
          <cell r="B6">
            <v>2</v>
          </cell>
          <cell r="C6">
            <v>13</v>
          </cell>
          <cell r="D6">
            <v>50</v>
          </cell>
          <cell r="E6">
            <v>70</v>
          </cell>
          <cell r="F6">
            <v>3</v>
          </cell>
          <cell r="G6">
            <v>6</v>
          </cell>
          <cell r="H6">
            <v>8</v>
          </cell>
          <cell r="I6">
            <v>13</v>
          </cell>
          <cell r="J6">
            <v>100</v>
          </cell>
        </row>
        <row r="7">
          <cell r="A7">
            <v>1</v>
          </cell>
          <cell r="B7">
            <v>2</v>
          </cell>
          <cell r="C7">
            <v>13</v>
          </cell>
          <cell r="D7">
            <v>71</v>
          </cell>
          <cell r="E7">
            <v>85</v>
          </cell>
          <cell r="F7">
            <v>3</v>
          </cell>
          <cell r="G7">
            <v>9</v>
          </cell>
          <cell r="H7">
            <v>14</v>
          </cell>
          <cell r="I7">
            <v>13</v>
          </cell>
          <cell r="J7">
            <v>200</v>
          </cell>
        </row>
        <row r="8">
          <cell r="A8">
            <v>2</v>
          </cell>
          <cell r="B8">
            <v>2</v>
          </cell>
          <cell r="C8">
            <v>13</v>
          </cell>
          <cell r="D8">
            <v>86</v>
          </cell>
          <cell r="E8">
            <v>100</v>
          </cell>
          <cell r="F8">
            <v>3</v>
          </cell>
          <cell r="G8">
            <v>15</v>
          </cell>
          <cell r="H8">
            <v>20</v>
          </cell>
          <cell r="I8">
            <v>13</v>
          </cell>
          <cell r="J8">
            <v>450</v>
          </cell>
        </row>
        <row r="9">
          <cell r="A9">
            <v>3</v>
          </cell>
          <cell r="B9">
            <v>2</v>
          </cell>
          <cell r="C9">
            <v>13</v>
          </cell>
          <cell r="D9">
            <v>101</v>
          </cell>
          <cell r="E9">
            <v>115</v>
          </cell>
          <cell r="F9">
            <v>4</v>
          </cell>
          <cell r="G9">
            <v>21</v>
          </cell>
          <cell r="H9">
            <v>26</v>
          </cell>
          <cell r="I9">
            <v>13</v>
          </cell>
          <cell r="J9">
            <v>700</v>
          </cell>
        </row>
        <row r="10">
          <cell r="A10">
            <v>4</v>
          </cell>
          <cell r="B10">
            <v>2</v>
          </cell>
          <cell r="C10">
            <v>14</v>
          </cell>
          <cell r="D10">
            <v>116</v>
          </cell>
          <cell r="E10">
            <v>130</v>
          </cell>
          <cell r="F10">
            <v>5</v>
          </cell>
          <cell r="G10">
            <v>27</v>
          </cell>
          <cell r="H10">
            <v>32</v>
          </cell>
          <cell r="I10">
            <v>14</v>
          </cell>
          <cell r="J10">
            <v>1100</v>
          </cell>
        </row>
        <row r="11">
          <cell r="A11">
            <v>5</v>
          </cell>
          <cell r="B11">
            <v>3</v>
          </cell>
          <cell r="C11">
            <v>15</v>
          </cell>
          <cell r="D11">
            <v>131</v>
          </cell>
          <cell r="E11">
            <v>145</v>
          </cell>
          <cell r="F11">
            <v>6</v>
          </cell>
          <cell r="G11">
            <v>33</v>
          </cell>
          <cell r="H11">
            <v>38</v>
          </cell>
          <cell r="I11">
            <v>15</v>
          </cell>
          <cell r="J11">
            <v>1800</v>
          </cell>
        </row>
        <row r="12">
          <cell r="A12">
            <v>6</v>
          </cell>
          <cell r="B12">
            <v>3</v>
          </cell>
          <cell r="C12">
            <v>15</v>
          </cell>
          <cell r="D12">
            <v>146</v>
          </cell>
          <cell r="E12">
            <v>160</v>
          </cell>
          <cell r="F12">
            <v>6</v>
          </cell>
          <cell r="G12">
            <v>39</v>
          </cell>
          <cell r="H12">
            <v>44</v>
          </cell>
          <cell r="I12">
            <v>15</v>
          </cell>
          <cell r="J12">
            <v>2300</v>
          </cell>
        </row>
        <row r="13">
          <cell r="A13">
            <v>7</v>
          </cell>
          <cell r="B13">
            <v>3</v>
          </cell>
          <cell r="C13">
            <v>15</v>
          </cell>
          <cell r="D13">
            <v>161</v>
          </cell>
          <cell r="E13">
            <v>175</v>
          </cell>
          <cell r="F13">
            <v>6</v>
          </cell>
          <cell r="G13">
            <v>45</v>
          </cell>
          <cell r="H13">
            <v>50</v>
          </cell>
          <cell r="I13">
            <v>15</v>
          </cell>
          <cell r="J13">
            <v>2900</v>
          </cell>
        </row>
        <row r="14">
          <cell r="A14">
            <v>8</v>
          </cell>
          <cell r="B14">
            <v>3</v>
          </cell>
          <cell r="C14">
            <v>16</v>
          </cell>
          <cell r="D14">
            <v>176</v>
          </cell>
          <cell r="E14">
            <v>190</v>
          </cell>
          <cell r="F14">
            <v>7</v>
          </cell>
          <cell r="G14">
            <v>51</v>
          </cell>
          <cell r="H14">
            <v>56</v>
          </cell>
          <cell r="I14">
            <v>16</v>
          </cell>
          <cell r="J14">
            <v>3900</v>
          </cell>
        </row>
        <row r="15">
          <cell r="A15">
            <v>9</v>
          </cell>
          <cell r="B15">
            <v>4</v>
          </cell>
          <cell r="C15">
            <v>16</v>
          </cell>
          <cell r="D15">
            <v>191</v>
          </cell>
          <cell r="E15">
            <v>205</v>
          </cell>
          <cell r="F15">
            <v>7</v>
          </cell>
          <cell r="G15">
            <v>57</v>
          </cell>
          <cell r="H15">
            <v>62</v>
          </cell>
          <cell r="I15">
            <v>16</v>
          </cell>
          <cell r="J15">
            <v>5000</v>
          </cell>
        </row>
        <row r="16">
          <cell r="A16">
            <v>10</v>
          </cell>
          <cell r="B16">
            <v>4</v>
          </cell>
          <cell r="C16">
            <v>17</v>
          </cell>
          <cell r="D16">
            <v>206</v>
          </cell>
          <cell r="E16">
            <v>220</v>
          </cell>
          <cell r="F16">
            <v>7</v>
          </cell>
          <cell r="G16">
            <v>63</v>
          </cell>
          <cell r="H16">
            <v>68</v>
          </cell>
          <cell r="I16">
            <v>16</v>
          </cell>
          <cell r="J16">
            <v>5900</v>
          </cell>
        </row>
        <row r="17">
          <cell r="A17">
            <v>11</v>
          </cell>
          <cell r="B17">
            <v>4</v>
          </cell>
          <cell r="C17">
            <v>17</v>
          </cell>
          <cell r="D17">
            <v>221</v>
          </cell>
          <cell r="E17">
            <v>235</v>
          </cell>
          <cell r="F17">
            <v>8</v>
          </cell>
          <cell r="G17">
            <v>69</v>
          </cell>
          <cell r="H17">
            <v>74</v>
          </cell>
          <cell r="I17">
            <v>17</v>
          </cell>
          <cell r="J17">
            <v>7200</v>
          </cell>
        </row>
        <row r="18">
          <cell r="A18">
            <v>12</v>
          </cell>
          <cell r="B18">
            <v>4</v>
          </cell>
          <cell r="C18">
            <v>17</v>
          </cell>
          <cell r="D18">
            <v>236</v>
          </cell>
          <cell r="E18">
            <v>250</v>
          </cell>
          <cell r="F18">
            <v>8</v>
          </cell>
          <cell r="G18">
            <v>75</v>
          </cell>
          <cell r="H18">
            <v>80</v>
          </cell>
          <cell r="I18">
            <v>17</v>
          </cell>
          <cell r="J18">
            <v>8400</v>
          </cell>
        </row>
        <row r="19">
          <cell r="A19">
            <v>13</v>
          </cell>
          <cell r="B19">
            <v>5</v>
          </cell>
          <cell r="C19">
            <v>18</v>
          </cell>
          <cell r="D19">
            <v>251</v>
          </cell>
          <cell r="E19">
            <v>265</v>
          </cell>
          <cell r="F19">
            <v>8</v>
          </cell>
          <cell r="G19">
            <v>81</v>
          </cell>
          <cell r="H19">
            <v>86</v>
          </cell>
          <cell r="I19">
            <v>18</v>
          </cell>
          <cell r="J19">
            <v>10000</v>
          </cell>
        </row>
        <row r="20">
          <cell r="A20">
            <v>14</v>
          </cell>
          <cell r="B20">
            <v>5</v>
          </cell>
          <cell r="C20">
            <v>18</v>
          </cell>
          <cell r="D20">
            <v>266</v>
          </cell>
          <cell r="E20">
            <v>280</v>
          </cell>
          <cell r="F20">
            <v>8</v>
          </cell>
          <cell r="G20">
            <v>87</v>
          </cell>
          <cell r="H20">
            <v>92</v>
          </cell>
          <cell r="I20">
            <v>18</v>
          </cell>
          <cell r="J20">
            <v>11500</v>
          </cell>
        </row>
        <row r="21">
          <cell r="A21">
            <v>15</v>
          </cell>
          <cell r="B21">
            <v>5</v>
          </cell>
          <cell r="C21">
            <v>18</v>
          </cell>
          <cell r="D21">
            <v>281</v>
          </cell>
          <cell r="E21">
            <v>295</v>
          </cell>
          <cell r="F21">
            <v>8</v>
          </cell>
          <cell r="G21">
            <v>93</v>
          </cell>
          <cell r="H21">
            <v>98</v>
          </cell>
          <cell r="I21">
            <v>18</v>
          </cell>
          <cell r="J21">
            <v>13000</v>
          </cell>
        </row>
        <row r="22">
          <cell r="A22">
            <v>16</v>
          </cell>
          <cell r="B22">
            <v>5</v>
          </cell>
          <cell r="C22">
            <v>18</v>
          </cell>
          <cell r="D22">
            <v>296</v>
          </cell>
          <cell r="E22">
            <v>310</v>
          </cell>
          <cell r="F22">
            <v>9</v>
          </cell>
          <cell r="G22">
            <v>99</v>
          </cell>
          <cell r="H22">
            <v>104</v>
          </cell>
          <cell r="I22">
            <v>18</v>
          </cell>
          <cell r="J22">
            <v>15000</v>
          </cell>
        </row>
        <row r="23">
          <cell r="A23">
            <v>17</v>
          </cell>
          <cell r="B23">
            <v>6</v>
          </cell>
          <cell r="C23">
            <v>19</v>
          </cell>
          <cell r="D23">
            <v>311</v>
          </cell>
          <cell r="E23">
            <v>325</v>
          </cell>
          <cell r="F23">
            <v>10</v>
          </cell>
          <cell r="G23">
            <v>105</v>
          </cell>
          <cell r="H23">
            <v>110</v>
          </cell>
          <cell r="I23">
            <v>19</v>
          </cell>
          <cell r="J23">
            <v>18000</v>
          </cell>
        </row>
        <row r="24">
          <cell r="A24">
            <v>18</v>
          </cell>
          <cell r="B24">
            <v>6</v>
          </cell>
          <cell r="C24">
            <v>19</v>
          </cell>
          <cell r="D24">
            <v>326</v>
          </cell>
          <cell r="E24">
            <v>340</v>
          </cell>
          <cell r="F24">
            <v>10</v>
          </cell>
          <cell r="G24">
            <v>111</v>
          </cell>
          <cell r="H24">
            <v>116</v>
          </cell>
          <cell r="I24">
            <v>19</v>
          </cell>
          <cell r="J24">
            <v>20000</v>
          </cell>
        </row>
        <row r="25">
          <cell r="A25">
            <v>19</v>
          </cell>
          <cell r="B25">
            <v>6</v>
          </cell>
          <cell r="C25">
            <v>19</v>
          </cell>
          <cell r="D25">
            <v>341</v>
          </cell>
          <cell r="E25">
            <v>355</v>
          </cell>
          <cell r="F25">
            <v>10</v>
          </cell>
          <cell r="G25">
            <v>117</v>
          </cell>
          <cell r="H25">
            <v>122</v>
          </cell>
          <cell r="I25">
            <v>19</v>
          </cell>
          <cell r="J25">
            <v>22000</v>
          </cell>
        </row>
        <row r="26">
          <cell r="A26">
            <v>20</v>
          </cell>
          <cell r="B26">
            <v>6</v>
          </cell>
          <cell r="C26">
            <v>19</v>
          </cell>
          <cell r="D26">
            <v>356</v>
          </cell>
          <cell r="E26">
            <v>400</v>
          </cell>
          <cell r="F26">
            <v>10</v>
          </cell>
          <cell r="G26">
            <v>123</v>
          </cell>
          <cell r="H26">
            <v>140</v>
          </cell>
          <cell r="I26">
            <v>19</v>
          </cell>
          <cell r="J26">
            <v>25000</v>
          </cell>
        </row>
        <row r="27">
          <cell r="A27">
            <v>21</v>
          </cell>
          <cell r="B27">
            <v>7</v>
          </cell>
          <cell r="C27">
            <v>19</v>
          </cell>
          <cell r="D27">
            <v>401</v>
          </cell>
          <cell r="E27">
            <v>445</v>
          </cell>
          <cell r="F27">
            <v>11</v>
          </cell>
          <cell r="G27">
            <v>141</v>
          </cell>
          <cell r="H27">
            <v>158</v>
          </cell>
          <cell r="I27">
            <v>20</v>
          </cell>
          <cell r="J27">
            <v>33000</v>
          </cell>
        </row>
        <row r="28">
          <cell r="A28">
            <v>22</v>
          </cell>
          <cell r="B28">
            <v>7</v>
          </cell>
          <cell r="C28">
            <v>19</v>
          </cell>
          <cell r="D28">
            <v>446</v>
          </cell>
          <cell r="E28">
            <v>490</v>
          </cell>
          <cell r="F28">
            <v>11</v>
          </cell>
          <cell r="G28">
            <v>159</v>
          </cell>
          <cell r="H28">
            <v>176</v>
          </cell>
          <cell r="I28">
            <v>20</v>
          </cell>
          <cell r="J28">
            <v>41000</v>
          </cell>
        </row>
        <row r="29">
          <cell r="A29">
            <v>23</v>
          </cell>
          <cell r="B29">
            <v>7</v>
          </cell>
          <cell r="C29">
            <v>19</v>
          </cell>
          <cell r="D29">
            <v>491</v>
          </cell>
          <cell r="E29">
            <v>535</v>
          </cell>
          <cell r="F29">
            <v>11</v>
          </cell>
          <cell r="G29">
            <v>177</v>
          </cell>
          <cell r="H29">
            <v>194</v>
          </cell>
          <cell r="I29">
            <v>20</v>
          </cell>
          <cell r="J29">
            <v>50000</v>
          </cell>
        </row>
        <row r="30">
          <cell r="A30">
            <v>24</v>
          </cell>
          <cell r="B30">
            <v>7</v>
          </cell>
          <cell r="C30">
            <v>19</v>
          </cell>
          <cell r="D30">
            <v>536</v>
          </cell>
          <cell r="E30">
            <v>580</v>
          </cell>
          <cell r="F30">
            <v>12</v>
          </cell>
          <cell r="G30">
            <v>195</v>
          </cell>
          <cell r="H30">
            <v>212</v>
          </cell>
          <cell r="I30">
            <v>21</v>
          </cell>
          <cell r="J30">
            <v>62000</v>
          </cell>
        </row>
        <row r="31">
          <cell r="A31">
            <v>25</v>
          </cell>
          <cell r="B31">
            <v>8</v>
          </cell>
          <cell r="C31">
            <v>19</v>
          </cell>
          <cell r="D31">
            <v>581</v>
          </cell>
          <cell r="E31">
            <v>625</v>
          </cell>
          <cell r="F31">
            <v>12</v>
          </cell>
          <cell r="G31">
            <v>213</v>
          </cell>
          <cell r="H31">
            <v>230</v>
          </cell>
          <cell r="I31">
            <v>21</v>
          </cell>
          <cell r="J31">
            <v>75000</v>
          </cell>
        </row>
        <row r="32">
          <cell r="A32">
            <v>26</v>
          </cell>
          <cell r="B32">
            <v>8</v>
          </cell>
          <cell r="C32">
            <v>19</v>
          </cell>
          <cell r="D32">
            <v>626</v>
          </cell>
          <cell r="E32">
            <v>670</v>
          </cell>
          <cell r="F32">
            <v>12</v>
          </cell>
          <cell r="G32">
            <v>231</v>
          </cell>
          <cell r="H32">
            <v>248</v>
          </cell>
          <cell r="I32">
            <v>21</v>
          </cell>
          <cell r="J32">
            <v>90000</v>
          </cell>
        </row>
        <row r="33">
          <cell r="A33">
            <v>27</v>
          </cell>
          <cell r="B33">
            <v>8</v>
          </cell>
          <cell r="C33">
            <v>19</v>
          </cell>
          <cell r="D33">
            <v>671</v>
          </cell>
          <cell r="E33">
            <v>715</v>
          </cell>
          <cell r="F33">
            <v>13</v>
          </cell>
          <cell r="G33">
            <v>249</v>
          </cell>
          <cell r="H33">
            <v>266</v>
          </cell>
          <cell r="I33">
            <v>22</v>
          </cell>
          <cell r="J33">
            <v>105000</v>
          </cell>
        </row>
        <row r="34">
          <cell r="A34">
            <v>28</v>
          </cell>
          <cell r="B34">
            <v>8</v>
          </cell>
          <cell r="C34">
            <v>19</v>
          </cell>
          <cell r="D34">
            <v>716</v>
          </cell>
          <cell r="E34">
            <v>760</v>
          </cell>
          <cell r="F34">
            <v>13</v>
          </cell>
          <cell r="G34">
            <v>267</v>
          </cell>
          <cell r="H34">
            <v>284</v>
          </cell>
          <cell r="I34">
            <v>22</v>
          </cell>
          <cell r="J34">
            <v>120000</v>
          </cell>
        </row>
        <row r="35">
          <cell r="A35">
            <v>29</v>
          </cell>
          <cell r="B35">
            <v>9</v>
          </cell>
          <cell r="C35">
            <v>19</v>
          </cell>
          <cell r="D35">
            <v>761</v>
          </cell>
          <cell r="E35">
            <v>805</v>
          </cell>
          <cell r="F35">
            <v>13</v>
          </cell>
          <cell r="G35">
            <v>285</v>
          </cell>
          <cell r="H35">
            <v>302</v>
          </cell>
          <cell r="I35">
            <v>22</v>
          </cell>
          <cell r="J35">
            <v>135000</v>
          </cell>
        </row>
        <row r="36">
          <cell r="A36">
            <v>30</v>
          </cell>
          <cell r="B36">
            <v>9</v>
          </cell>
          <cell r="C36">
            <v>19</v>
          </cell>
          <cell r="D36">
            <v>806</v>
          </cell>
          <cell r="E36">
            <v>850</v>
          </cell>
          <cell r="F36">
            <v>14</v>
          </cell>
          <cell r="G36">
            <v>303</v>
          </cell>
          <cell r="H36">
            <v>320</v>
          </cell>
          <cell r="I36">
            <v>23</v>
          </cell>
          <cell r="J36">
            <v>155000</v>
          </cell>
        </row>
      </sheetData>
      <sheetData sheetId="2"/>
      <sheetData sheetId="3"/>
      <sheetData sheetId="4"/>
      <sheetData sheetId="5"/>
      <sheetData sheetId="6"/>
      <sheetData sheetId="7">
        <row r="1">
          <cell r="A1" t="str">
            <v>Name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bat Tracker"/>
      <sheetName val="Roller"/>
      <sheetName val="PC Notes"/>
      <sheetName val="Exp &amp; Treasure"/>
      <sheetName val="Reference"/>
      <sheetName val="List of NPCs"/>
      <sheetName val="Notepad"/>
      <sheetName val="DMS When the Trees Are Teeth"/>
    </sheetNames>
    <definedNames>
      <definedName name="ClearRollHistory"/>
      <definedName name="RollDice"/>
    </definedNames>
    <sheetDataSet>
      <sheetData sheetId="0"/>
      <sheetData sheetId="1"/>
      <sheetData sheetId="2">
        <row r="2">
          <cell r="A2" t="str">
            <v>Nulam</v>
          </cell>
        </row>
        <row r="3">
          <cell r="A3" t="str">
            <v>Ezra Ben'Ebon</v>
          </cell>
        </row>
        <row r="4">
          <cell r="A4" t="str">
            <v>Joshua</v>
          </cell>
        </row>
        <row r="5">
          <cell r="A5" t="str">
            <v>Jigaro</v>
          </cell>
        </row>
        <row r="6">
          <cell r="A6" t="str">
            <v>Safal</v>
          </cell>
        </row>
        <row r="7">
          <cell r="A7" t="str">
            <v>Wit</v>
          </cell>
        </row>
      </sheetData>
      <sheetData sheetId="3"/>
      <sheetData sheetId="4">
        <row r="3">
          <cell r="A3">
            <v>0</v>
          </cell>
          <cell r="B3">
            <v>1</v>
          </cell>
          <cell r="C3" t="str">
            <v>1st</v>
          </cell>
          <cell r="D3" t="str">
            <v>—</v>
          </cell>
          <cell r="E3">
            <v>0</v>
          </cell>
        </row>
        <row r="4">
          <cell r="A4">
            <v>2000</v>
          </cell>
          <cell r="B4">
            <v>2</v>
          </cell>
          <cell r="C4" t="str">
            <v>—</v>
          </cell>
          <cell r="D4" t="str">
            <v>—</v>
          </cell>
          <cell r="E4">
            <v>1000</v>
          </cell>
        </row>
        <row r="5">
          <cell r="A5">
            <v>5000</v>
          </cell>
          <cell r="B5">
            <v>3</v>
          </cell>
          <cell r="C5" t="str">
            <v>2nd</v>
          </cell>
          <cell r="D5" t="str">
            <v>—</v>
          </cell>
          <cell r="E5">
            <v>3000</v>
          </cell>
        </row>
        <row r="6">
          <cell r="A6">
            <v>9000</v>
          </cell>
          <cell r="B6">
            <v>4</v>
          </cell>
          <cell r="C6" t="str">
            <v>—</v>
          </cell>
          <cell r="D6" t="str">
            <v>1st</v>
          </cell>
          <cell r="E6">
            <v>6000</v>
          </cell>
        </row>
        <row r="7">
          <cell r="A7">
            <v>15000</v>
          </cell>
          <cell r="B7">
            <v>5</v>
          </cell>
          <cell r="C7" t="str">
            <v>3rd</v>
          </cell>
          <cell r="D7" t="str">
            <v>—</v>
          </cell>
          <cell r="E7">
            <v>10500</v>
          </cell>
        </row>
        <row r="8">
          <cell r="A8">
            <v>23000</v>
          </cell>
          <cell r="B8">
            <v>6</v>
          </cell>
          <cell r="C8" t="str">
            <v>—</v>
          </cell>
          <cell r="D8" t="str">
            <v>—</v>
          </cell>
          <cell r="E8">
            <v>16000</v>
          </cell>
        </row>
        <row r="9">
          <cell r="A9">
            <v>35000</v>
          </cell>
          <cell r="B9">
            <v>7</v>
          </cell>
          <cell r="C9" t="str">
            <v>4th</v>
          </cell>
          <cell r="D9" t="str">
            <v>—</v>
          </cell>
          <cell r="E9">
            <v>23500</v>
          </cell>
        </row>
        <row r="10">
          <cell r="A10">
            <v>51000</v>
          </cell>
          <cell r="B10">
            <v>8</v>
          </cell>
          <cell r="C10" t="str">
            <v>—</v>
          </cell>
          <cell r="D10" t="str">
            <v>2nd</v>
          </cell>
          <cell r="E10">
            <v>33000</v>
          </cell>
        </row>
        <row r="11">
          <cell r="A11">
            <v>75000</v>
          </cell>
          <cell r="B11">
            <v>9</v>
          </cell>
          <cell r="C11" t="str">
            <v>5th</v>
          </cell>
          <cell r="D11" t="str">
            <v>—</v>
          </cell>
          <cell r="E11">
            <v>46000</v>
          </cell>
        </row>
        <row r="12">
          <cell r="A12">
            <v>105000</v>
          </cell>
          <cell r="B12">
            <v>10</v>
          </cell>
          <cell r="C12" t="str">
            <v>—</v>
          </cell>
          <cell r="D12" t="str">
            <v>—</v>
          </cell>
          <cell r="E12">
            <v>62000</v>
          </cell>
        </row>
        <row r="13">
          <cell r="A13">
            <v>155000</v>
          </cell>
          <cell r="B13">
            <v>11</v>
          </cell>
          <cell r="C13" t="str">
            <v>6th</v>
          </cell>
          <cell r="D13" t="str">
            <v>—</v>
          </cell>
          <cell r="E13">
            <v>82000</v>
          </cell>
        </row>
        <row r="14">
          <cell r="A14">
            <v>220000</v>
          </cell>
          <cell r="B14">
            <v>12</v>
          </cell>
          <cell r="C14" t="str">
            <v>—</v>
          </cell>
          <cell r="D14" t="str">
            <v>3rd</v>
          </cell>
          <cell r="E14">
            <v>108000</v>
          </cell>
        </row>
        <row r="15">
          <cell r="A15">
            <v>315000</v>
          </cell>
          <cell r="B15">
            <v>13</v>
          </cell>
          <cell r="C15" t="str">
            <v>7th</v>
          </cell>
          <cell r="D15" t="str">
            <v>—</v>
          </cell>
          <cell r="E15">
            <v>140000</v>
          </cell>
        </row>
        <row r="16">
          <cell r="A16">
            <v>445000</v>
          </cell>
          <cell r="B16">
            <v>14</v>
          </cell>
          <cell r="C16" t="str">
            <v>—</v>
          </cell>
          <cell r="D16" t="str">
            <v>—</v>
          </cell>
          <cell r="E16">
            <v>185000</v>
          </cell>
        </row>
        <row r="17">
          <cell r="A17">
            <v>635000</v>
          </cell>
          <cell r="B17">
            <v>15</v>
          </cell>
          <cell r="C17" t="str">
            <v>8th</v>
          </cell>
          <cell r="D17" t="str">
            <v>—</v>
          </cell>
          <cell r="E17">
            <v>240000</v>
          </cell>
        </row>
        <row r="18">
          <cell r="A18">
            <v>890000</v>
          </cell>
          <cell r="B18">
            <v>16</v>
          </cell>
          <cell r="C18" t="str">
            <v>—</v>
          </cell>
          <cell r="D18" t="str">
            <v>4th</v>
          </cell>
          <cell r="E18">
            <v>315000</v>
          </cell>
        </row>
        <row r="19">
          <cell r="A19">
            <v>1300000</v>
          </cell>
          <cell r="B19">
            <v>17</v>
          </cell>
          <cell r="C19" t="str">
            <v>9th</v>
          </cell>
          <cell r="D19" t="str">
            <v>—</v>
          </cell>
          <cell r="E19">
            <v>410000</v>
          </cell>
        </row>
        <row r="20">
          <cell r="A20">
            <v>1800000</v>
          </cell>
          <cell r="B20">
            <v>18</v>
          </cell>
          <cell r="C20" t="str">
            <v>—</v>
          </cell>
          <cell r="D20" t="str">
            <v>—</v>
          </cell>
          <cell r="E20">
            <v>530000</v>
          </cell>
        </row>
        <row r="21">
          <cell r="A21">
            <v>2550000</v>
          </cell>
          <cell r="B21">
            <v>19</v>
          </cell>
          <cell r="C21" t="str">
            <v>10th</v>
          </cell>
          <cell r="D21" t="str">
            <v>—</v>
          </cell>
          <cell r="E21">
            <v>685000</v>
          </cell>
        </row>
        <row r="22">
          <cell r="A22">
            <v>3600000</v>
          </cell>
          <cell r="B22">
            <v>20</v>
          </cell>
          <cell r="C22" t="str">
            <v>—</v>
          </cell>
          <cell r="D22" t="str">
            <v>5th</v>
          </cell>
          <cell r="E22">
            <v>880000</v>
          </cell>
        </row>
      </sheetData>
      <sheetData sheetId="5"/>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pingTraveling"/>
      <sheetName val="Under Hood"/>
    </sheetNames>
    <sheetDataSet>
      <sheetData sheetId="0"/>
      <sheetData sheetId="1">
        <row r="1">
          <cell r="A1" t="str">
            <v>Yes</v>
          </cell>
          <cell r="D1" t="str">
            <v>Highway</v>
          </cell>
          <cell r="E1" t="str">
            <v>Road/Trail</v>
          </cell>
          <cell r="F1" t="str">
            <v>Trackless</v>
          </cell>
        </row>
        <row r="2">
          <cell r="A2" t="str">
            <v>No</v>
          </cell>
          <cell r="C2" t="str">
            <v>Desert</v>
          </cell>
          <cell r="I2" t="str">
            <v>15-ft.</v>
          </cell>
        </row>
        <row r="3">
          <cell r="C3" t="str">
            <v>Forest (Light)</v>
          </cell>
          <cell r="I3" t="str">
            <v>20-ft.</v>
          </cell>
        </row>
        <row r="4">
          <cell r="C4" t="str">
            <v>Forest (Medium)</v>
          </cell>
          <cell r="I4" t="str">
            <v>30-ft.</v>
          </cell>
        </row>
        <row r="5">
          <cell r="C5" t="str">
            <v>Forest (Dense)</v>
          </cell>
          <cell r="I5" t="str">
            <v>40-ft.</v>
          </cell>
        </row>
        <row r="6">
          <cell r="C6" t="str">
            <v>Hills</v>
          </cell>
          <cell r="I6" t="str">
            <v>50-ft.</v>
          </cell>
        </row>
        <row r="7">
          <cell r="C7" t="str">
            <v>Jungle</v>
          </cell>
          <cell r="I7" t="str">
            <v>Horse</v>
          </cell>
        </row>
        <row r="8">
          <cell r="C8" t="str">
            <v>Moor</v>
          </cell>
          <cell r="I8" t="str">
            <v>Rowboat</v>
          </cell>
        </row>
        <row r="9">
          <cell r="C9" t="str">
            <v>Mountains</v>
          </cell>
        </row>
        <row r="10">
          <cell r="C10" t="str">
            <v>Plains</v>
          </cell>
        </row>
        <row r="11">
          <cell r="C11" t="str">
            <v>swamp</v>
          </cell>
        </row>
        <row r="12">
          <cell r="C12" t="str">
            <v>Tundra, frozen</v>
          </cell>
        </row>
        <row r="14">
          <cell r="C14">
            <v>0.25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Encounter Builder"/>
      <sheetName val="Monster Index"/>
      <sheetName val="Credits"/>
      <sheetName val="Datas"/>
      <sheetName val="Random Encounters"/>
      <sheetName val="Random Treasures"/>
    </sheetNames>
    <sheetDataSet>
      <sheetData sheetId="0"/>
      <sheetData sheetId="1"/>
      <sheetData sheetId="2">
        <row r="15">
          <cell r="F15" t="str">
            <v>Aberration</v>
          </cell>
          <cell r="G15">
            <v>21</v>
          </cell>
        </row>
        <row r="16">
          <cell r="F16" t="str">
            <v>Beast</v>
          </cell>
          <cell r="G16">
            <v>191</v>
          </cell>
        </row>
        <row r="17">
          <cell r="F17" t="str">
            <v>Celestial</v>
          </cell>
          <cell r="G17">
            <v>8</v>
          </cell>
        </row>
        <row r="18">
          <cell r="F18" t="str">
            <v>Construct</v>
          </cell>
          <cell r="G18">
            <v>22</v>
          </cell>
        </row>
        <row r="19">
          <cell r="F19" t="str">
            <v>Dragon</v>
          </cell>
          <cell r="G19">
            <v>52</v>
          </cell>
        </row>
        <row r="20">
          <cell r="F20" t="str">
            <v>Elemental</v>
          </cell>
          <cell r="G20">
            <v>28</v>
          </cell>
        </row>
        <row r="21">
          <cell r="F21" t="str">
            <v>Fey</v>
          </cell>
          <cell r="G21">
            <v>10</v>
          </cell>
        </row>
        <row r="22">
          <cell r="F22" t="str">
            <v>Fiend</v>
          </cell>
          <cell r="G22">
            <v>35</v>
          </cell>
        </row>
        <row r="23">
          <cell r="F23" t="str">
            <v>Giant</v>
          </cell>
          <cell r="G23">
            <v>20</v>
          </cell>
        </row>
        <row r="24">
          <cell r="F24" t="str">
            <v>Humanoid</v>
          </cell>
          <cell r="G24">
            <v>99</v>
          </cell>
        </row>
        <row r="25">
          <cell r="F25" t="str">
            <v>Monstrosity</v>
          </cell>
          <cell r="G25">
            <v>75</v>
          </cell>
        </row>
        <row r="26">
          <cell r="F26" t="str">
            <v>Ooze</v>
          </cell>
          <cell r="G26">
            <v>6</v>
          </cell>
        </row>
        <row r="27">
          <cell r="F27" t="str">
            <v>Plant</v>
          </cell>
          <cell r="G27">
            <v>20</v>
          </cell>
        </row>
        <row r="28">
          <cell r="F28" t="str">
            <v>Undead</v>
          </cell>
          <cell r="G28">
            <v>40</v>
          </cell>
        </row>
      </sheetData>
      <sheetData sheetId="3"/>
      <sheetData sheetId="4"/>
      <sheetData sheetId="5"/>
      <sheetData sheetId="6"/>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AL368"/>
  <sheetViews>
    <sheetView topLeftCell="A355" zoomScaleNormal="100" workbookViewId="0">
      <selection activeCell="T337" sqref="T337:U338"/>
    </sheetView>
  </sheetViews>
  <sheetFormatPr defaultRowHeight="15" x14ac:dyDescent="0.25"/>
  <cols>
    <col min="1" max="12" width="6.7109375" customWidth="1"/>
  </cols>
  <sheetData>
    <row r="1" spans="1:38" ht="15.75" customHeight="1" x14ac:dyDescent="0.25">
      <c r="A1" s="127">
        <v>1</v>
      </c>
      <c r="B1" s="252" t="s">
        <v>7</v>
      </c>
      <c r="C1" s="252"/>
      <c r="D1" s="252"/>
      <c r="E1" s="252"/>
      <c r="F1" s="252"/>
      <c r="G1" s="252"/>
      <c r="H1" s="252"/>
      <c r="I1" s="252"/>
      <c r="J1" s="252"/>
      <c r="K1" s="252"/>
      <c r="L1" s="252"/>
      <c r="M1">
        <f>COLUMN(N1)-COLUMN(A1)</f>
        <v>13</v>
      </c>
      <c r="N1" s="127">
        <v>2</v>
      </c>
      <c r="O1" s="252" t="s">
        <v>45</v>
      </c>
      <c r="P1" s="252"/>
      <c r="Q1" s="252"/>
      <c r="R1" s="252"/>
      <c r="S1" s="252"/>
      <c r="T1" s="252"/>
      <c r="U1" s="252"/>
      <c r="V1" s="252"/>
      <c r="W1" s="252"/>
      <c r="X1" s="252"/>
      <c r="Y1" s="252"/>
      <c r="AA1" s="127">
        <v>3</v>
      </c>
      <c r="AB1" s="252" t="s">
        <v>408</v>
      </c>
      <c r="AC1" s="252"/>
      <c r="AD1" s="252"/>
      <c r="AE1" s="252"/>
      <c r="AF1" s="252"/>
      <c r="AG1" s="252"/>
      <c r="AH1" s="252"/>
      <c r="AI1" s="252"/>
      <c r="AJ1" s="252"/>
      <c r="AK1" s="252"/>
      <c r="AL1" s="252"/>
    </row>
    <row r="2" spans="1:38" ht="15.75" customHeight="1" x14ac:dyDescent="0.25">
      <c r="A2" s="128">
        <v>2</v>
      </c>
      <c r="B2" s="252"/>
      <c r="C2" s="252"/>
      <c r="D2" s="252"/>
      <c r="E2" s="252"/>
      <c r="F2" s="252"/>
      <c r="G2" s="252"/>
      <c r="H2" s="252"/>
      <c r="I2" s="252"/>
      <c r="J2" s="252"/>
      <c r="K2" s="252"/>
      <c r="L2" s="252"/>
      <c r="N2" s="128">
        <v>2</v>
      </c>
      <c r="O2" s="252"/>
      <c r="P2" s="252"/>
      <c r="Q2" s="252"/>
      <c r="R2" s="252"/>
      <c r="S2" s="252"/>
      <c r="T2" s="252"/>
      <c r="U2" s="252"/>
      <c r="V2" s="252"/>
      <c r="W2" s="252"/>
      <c r="X2" s="252"/>
      <c r="Y2" s="252"/>
      <c r="AA2" s="128">
        <v>2</v>
      </c>
      <c r="AB2" s="252"/>
      <c r="AC2" s="252"/>
      <c r="AD2" s="252"/>
      <c r="AE2" s="252"/>
      <c r="AF2" s="252"/>
      <c r="AG2" s="252"/>
      <c r="AH2" s="252"/>
      <c r="AI2" s="252"/>
      <c r="AJ2" s="252"/>
      <c r="AK2" s="252"/>
      <c r="AL2" s="252"/>
    </row>
    <row r="3" spans="1:38" ht="15.75" customHeight="1" x14ac:dyDescent="0.3">
      <c r="A3" s="237" t="s">
        <v>37</v>
      </c>
      <c r="B3" s="237"/>
      <c r="C3" s="237" t="s">
        <v>18</v>
      </c>
      <c r="D3" s="237"/>
      <c r="E3" s="237" t="s">
        <v>908</v>
      </c>
      <c r="F3" s="237"/>
      <c r="G3" s="238" t="s">
        <v>909</v>
      </c>
      <c r="H3" s="239">
        <v>10</v>
      </c>
      <c r="I3" s="229"/>
      <c r="J3" s="230"/>
      <c r="K3" s="230"/>
      <c r="L3" s="231"/>
      <c r="N3" s="237" t="s">
        <v>37</v>
      </c>
      <c r="O3" s="237"/>
      <c r="P3" s="237" t="s">
        <v>18</v>
      </c>
      <c r="Q3" s="237"/>
      <c r="R3" s="237" t="s">
        <v>908</v>
      </c>
      <c r="S3" s="237"/>
      <c r="T3" s="238" t="s">
        <v>909</v>
      </c>
      <c r="U3" s="239">
        <v>12</v>
      </c>
      <c r="V3" s="229" t="s">
        <v>910</v>
      </c>
      <c r="W3" s="230"/>
      <c r="X3" s="230"/>
      <c r="Y3" s="231"/>
      <c r="AA3" s="237" t="s">
        <v>37</v>
      </c>
      <c r="AB3" s="237"/>
      <c r="AC3" s="237" t="s">
        <v>18</v>
      </c>
      <c r="AD3" s="237"/>
      <c r="AE3" s="237" t="s">
        <v>908</v>
      </c>
      <c r="AF3" s="237"/>
      <c r="AG3" s="238" t="s">
        <v>909</v>
      </c>
      <c r="AH3" s="239">
        <v>13</v>
      </c>
      <c r="AI3" s="229" t="s">
        <v>911</v>
      </c>
      <c r="AJ3" s="230"/>
      <c r="AK3" s="230"/>
      <c r="AL3" s="231"/>
    </row>
    <row r="4" spans="1:38" ht="15.75" customHeight="1" x14ac:dyDescent="0.25">
      <c r="A4" s="228" t="s">
        <v>2</v>
      </c>
      <c r="B4" s="228"/>
      <c r="C4" s="228" t="s">
        <v>912</v>
      </c>
      <c r="D4" s="228"/>
      <c r="E4" s="228" t="s">
        <v>913</v>
      </c>
      <c r="F4" s="228"/>
      <c r="G4" s="238"/>
      <c r="H4" s="239"/>
      <c r="I4" s="229"/>
      <c r="J4" s="230"/>
      <c r="K4" s="230"/>
      <c r="L4" s="231"/>
      <c r="N4" s="228" t="s">
        <v>2</v>
      </c>
      <c r="O4" s="228"/>
      <c r="P4" s="228" t="s">
        <v>912</v>
      </c>
      <c r="Q4" s="228"/>
      <c r="R4" s="228" t="s">
        <v>913</v>
      </c>
      <c r="S4" s="228"/>
      <c r="T4" s="238"/>
      <c r="U4" s="239"/>
      <c r="V4" s="229"/>
      <c r="W4" s="230"/>
      <c r="X4" s="230"/>
      <c r="Y4" s="231"/>
      <c r="AA4" s="228" t="s">
        <v>2</v>
      </c>
      <c r="AB4" s="228"/>
      <c r="AC4" s="228" t="s">
        <v>912</v>
      </c>
      <c r="AD4" s="228"/>
      <c r="AE4" s="228" t="s">
        <v>913</v>
      </c>
      <c r="AF4" s="228"/>
      <c r="AG4" s="238"/>
      <c r="AH4" s="239"/>
      <c r="AI4" s="229"/>
      <c r="AJ4" s="230"/>
      <c r="AK4" s="230"/>
      <c r="AL4" s="231"/>
    </row>
    <row r="5" spans="1:38" ht="15.75" customHeight="1" x14ac:dyDescent="0.25">
      <c r="A5" s="232">
        <f>C9</f>
        <v>0</v>
      </c>
      <c r="B5" s="232"/>
      <c r="C5" s="233">
        <v>30</v>
      </c>
      <c r="D5" s="233"/>
      <c r="E5" s="233"/>
      <c r="F5" s="233"/>
      <c r="G5" s="235">
        <v>2</v>
      </c>
      <c r="H5" s="235" t="str">
        <f>IF(C3="Tiny","d4",IF(C3="Small","d6",IF(C3="Medium","d8",IF(C3="Large","d10",IF(C3="Huge","d12",IF(C3="Gargantuan","d20",""))))))</f>
        <v>d8</v>
      </c>
      <c r="I5" s="223">
        <f>IFERROR(G5*E9,0)</f>
        <v>0</v>
      </c>
      <c r="J5" s="224">
        <f>ROUNDDOWN((0.5*(1+VALUE(RIGHT(H5,LEN(H5)-1)))+IF(E9="",0,E9))*G5,0)</f>
        <v>9</v>
      </c>
      <c r="K5" s="224"/>
      <c r="L5" s="225">
        <v>0.25</v>
      </c>
      <c r="N5" s="232">
        <f>P9</f>
        <v>1</v>
      </c>
      <c r="O5" s="232"/>
      <c r="P5" s="233">
        <v>30</v>
      </c>
      <c r="Q5" s="233"/>
      <c r="R5" s="233"/>
      <c r="S5" s="233"/>
      <c r="T5" s="235">
        <v>2</v>
      </c>
      <c r="U5" s="235" t="str">
        <f>IF(P3="Tiny","d4",IF(P3="Small","d6",IF(P3="Medium","d8",IF(P3="Large","d10",IF(P3="Huge","d12",IF(P3="Gargantuan","d20",""))))))</f>
        <v>d8</v>
      </c>
      <c r="V5" s="223">
        <f>IFERROR(T5*R9,0)</f>
        <v>2</v>
      </c>
      <c r="W5" s="224">
        <f>ROUNDDOWN((0.5*(1+VALUE(RIGHT(U5,LEN(U5)-1)))+IF(R9="",0,R9))*T5,0)</f>
        <v>11</v>
      </c>
      <c r="X5" s="224"/>
      <c r="Y5" s="225">
        <f>1/8</f>
        <v>0.125</v>
      </c>
      <c r="AA5" s="232">
        <f>AC9</f>
        <v>1</v>
      </c>
      <c r="AB5" s="232"/>
      <c r="AC5" s="233">
        <v>30</v>
      </c>
      <c r="AD5" s="233"/>
      <c r="AE5" s="233"/>
      <c r="AF5" s="233"/>
      <c r="AG5" s="235">
        <v>9</v>
      </c>
      <c r="AH5" s="235" t="str">
        <f>IF(AC3="Tiny","d4",IF(AC3="Small","d6",IF(AC3="Medium","d8",IF(AC3="Large","d10",IF(AC3="Huge","d12",IF(AC3="Gargantuan","d20",""))))))</f>
        <v>d8</v>
      </c>
      <c r="AI5" s="223">
        <f>IFERROR(AG5*AE9,0)</f>
        <v>27</v>
      </c>
      <c r="AJ5" s="224">
        <f>ROUNDDOWN((0.5*(1+VALUE(RIGHT(AH5,LEN(AH5)-1)))+IF(AE9="",0,AE9))*AG5,0)</f>
        <v>67</v>
      </c>
      <c r="AK5" s="224"/>
      <c r="AL5" s="225">
        <v>2</v>
      </c>
    </row>
    <row r="6" spans="1:38" ht="15.75" customHeight="1" x14ac:dyDescent="0.25">
      <c r="A6" s="232"/>
      <c r="B6" s="232"/>
      <c r="C6" s="234"/>
      <c r="D6" s="234"/>
      <c r="E6" s="234"/>
      <c r="F6" s="234"/>
      <c r="G6" s="235"/>
      <c r="H6" s="235"/>
      <c r="I6" s="223"/>
      <c r="J6" s="224"/>
      <c r="K6" s="224"/>
      <c r="L6" s="225"/>
      <c r="N6" s="232"/>
      <c r="O6" s="232"/>
      <c r="P6" s="234"/>
      <c r="Q6" s="234"/>
      <c r="R6" s="234"/>
      <c r="S6" s="234"/>
      <c r="T6" s="235"/>
      <c r="U6" s="235"/>
      <c r="V6" s="223"/>
      <c r="W6" s="224"/>
      <c r="X6" s="224"/>
      <c r="Y6" s="225"/>
      <c r="AA6" s="232"/>
      <c r="AB6" s="232"/>
      <c r="AC6" s="234"/>
      <c r="AD6" s="234"/>
      <c r="AE6" s="234"/>
      <c r="AF6" s="234"/>
      <c r="AG6" s="235"/>
      <c r="AH6" s="235"/>
      <c r="AI6" s="223"/>
      <c r="AJ6" s="224"/>
      <c r="AK6" s="224"/>
      <c r="AL6" s="225"/>
    </row>
    <row r="7" spans="1:38" ht="15.75" customHeight="1" thickBot="1" x14ac:dyDescent="0.3">
      <c r="A7" s="226" t="str">
        <f>"Base Init:"&amp;C9</f>
        <v>Base Init:0</v>
      </c>
      <c r="B7" s="226"/>
      <c r="C7" s="129" t="s">
        <v>914</v>
      </c>
      <c r="D7" s="129" t="s">
        <v>915</v>
      </c>
      <c r="E7" s="129" t="s">
        <v>915</v>
      </c>
      <c r="F7" s="129" t="s">
        <v>915</v>
      </c>
      <c r="G7" s="226" t="s">
        <v>916</v>
      </c>
      <c r="H7" s="226"/>
      <c r="I7" s="226"/>
      <c r="J7" s="226"/>
      <c r="K7" s="226"/>
      <c r="L7" s="129" t="s">
        <v>11</v>
      </c>
      <c r="N7" s="226" t="str">
        <f>"Base Init:"&amp;P9</f>
        <v>Base Init:1</v>
      </c>
      <c r="O7" s="226"/>
      <c r="P7" s="129" t="s">
        <v>914</v>
      </c>
      <c r="Q7" s="129" t="s">
        <v>915</v>
      </c>
      <c r="R7" s="129" t="s">
        <v>915</v>
      </c>
      <c r="S7" s="129" t="s">
        <v>915</v>
      </c>
      <c r="T7" s="226" t="s">
        <v>916</v>
      </c>
      <c r="U7" s="226"/>
      <c r="V7" s="226"/>
      <c r="W7" s="226"/>
      <c r="X7" s="226"/>
      <c r="Y7" s="129" t="s">
        <v>11</v>
      </c>
      <c r="AA7" s="226" t="str">
        <f>"Base Init:"&amp;AC9</f>
        <v>Base Init:1</v>
      </c>
      <c r="AB7" s="226"/>
      <c r="AC7" s="129" t="s">
        <v>914</v>
      </c>
      <c r="AD7" s="129" t="s">
        <v>915</v>
      </c>
      <c r="AE7" s="129" t="s">
        <v>915</v>
      </c>
      <c r="AF7" s="129" t="s">
        <v>915</v>
      </c>
      <c r="AG7" s="226" t="s">
        <v>916</v>
      </c>
      <c r="AH7" s="226"/>
      <c r="AI7" s="226"/>
      <c r="AJ7" s="226"/>
      <c r="AK7" s="226"/>
      <c r="AL7" s="129" t="s">
        <v>11</v>
      </c>
    </row>
    <row r="8" spans="1:38" ht="17.25" customHeight="1" x14ac:dyDescent="0.25">
      <c r="A8" s="227">
        <v>10</v>
      </c>
      <c r="B8" s="219"/>
      <c r="C8" s="218">
        <v>10</v>
      </c>
      <c r="D8" s="219"/>
      <c r="E8" s="218">
        <v>10</v>
      </c>
      <c r="F8" s="219"/>
      <c r="G8" s="218">
        <v>10</v>
      </c>
      <c r="H8" s="219"/>
      <c r="I8" s="218">
        <v>14</v>
      </c>
      <c r="J8" s="219"/>
      <c r="K8" s="218">
        <v>11</v>
      </c>
      <c r="L8" s="219"/>
      <c r="N8" s="227">
        <v>11</v>
      </c>
      <c r="O8" s="219"/>
      <c r="P8" s="218">
        <v>12</v>
      </c>
      <c r="Q8" s="219"/>
      <c r="R8" s="218">
        <v>12</v>
      </c>
      <c r="S8" s="219"/>
      <c r="T8" s="218">
        <v>10</v>
      </c>
      <c r="U8" s="219"/>
      <c r="V8" s="218">
        <v>10</v>
      </c>
      <c r="W8" s="219"/>
      <c r="X8" s="218">
        <v>10</v>
      </c>
      <c r="Y8" s="219"/>
      <c r="AA8" s="227">
        <v>16</v>
      </c>
      <c r="AB8" s="219"/>
      <c r="AC8" s="218">
        <v>12</v>
      </c>
      <c r="AD8" s="219"/>
      <c r="AE8" s="218">
        <v>17</v>
      </c>
      <c r="AF8" s="219"/>
      <c r="AG8" s="218">
        <v>9</v>
      </c>
      <c r="AH8" s="219"/>
      <c r="AI8" s="218">
        <v>11</v>
      </c>
      <c r="AJ8" s="219"/>
      <c r="AK8" s="218">
        <v>9</v>
      </c>
      <c r="AL8" s="219"/>
    </row>
    <row r="9" spans="1:38" ht="15" customHeight="1" x14ac:dyDescent="0.25">
      <c r="A9" s="220">
        <f>IF(A8=0,"",IF(A8&gt;10,ROUNDDOWN((A8-10)/2,0),ROUNDUP((A8-10)/2,0)))</f>
        <v>0</v>
      </c>
      <c r="B9" s="221"/>
      <c r="C9" s="222">
        <f>IF(C8=0,"",IF(C8&gt;10,ROUNDDOWN((C8-10)/2,0),ROUNDUP((C8-10)/2,0)))</f>
        <v>0</v>
      </c>
      <c r="D9" s="221"/>
      <c r="E9" s="222">
        <f>IF(E8=0,"",IF(E8&gt;10,ROUNDDOWN((E8-10)/2,0),ROUNDUP((E8-10)/2,0)))</f>
        <v>0</v>
      </c>
      <c r="F9" s="221"/>
      <c r="G9" s="222">
        <f>IF(G8=0,"",IF(G8&gt;10,ROUNDDOWN((G8-10)/2,0),ROUNDUP((G8-10)/2,0)))</f>
        <v>0</v>
      </c>
      <c r="H9" s="221"/>
      <c r="I9" s="222">
        <f>IF(I8=0,"",IF(I8&gt;10,ROUNDDOWN((I8-10)/2,0),ROUNDUP((I8-10)/2,0)))</f>
        <v>2</v>
      </c>
      <c r="J9" s="221"/>
      <c r="K9" s="222">
        <f>IF(K8=0,"",IF(K8&gt;10,ROUNDDOWN((K8-10)/2,0),ROUNDUP((K8-10)/2,0)))</f>
        <v>0</v>
      </c>
      <c r="L9" s="221"/>
      <c r="N9" s="220">
        <f>IF(N8=0,"",IF(N8&gt;10,ROUNDDOWN((N8-10)/2,0),ROUNDUP((N8-10)/2,0)))</f>
        <v>0</v>
      </c>
      <c r="O9" s="221"/>
      <c r="P9" s="222">
        <f>IF(P8=0,"",IF(P8&gt;10,ROUNDDOWN((P8-10)/2,0),ROUNDUP((P8-10)/2,0)))</f>
        <v>1</v>
      </c>
      <c r="Q9" s="221"/>
      <c r="R9" s="222">
        <f>IF(R8=0,"",IF(R8&gt;10,ROUNDDOWN((R8-10)/2,0),ROUNDUP((R8-10)/2,0)))</f>
        <v>1</v>
      </c>
      <c r="S9" s="221"/>
      <c r="T9" s="222">
        <f>IF(T8=0,"",IF(T8&gt;10,ROUNDDOWN((T8-10)/2,0),ROUNDUP((T8-10)/2,0)))</f>
        <v>0</v>
      </c>
      <c r="U9" s="221"/>
      <c r="V9" s="222">
        <f>IF(V8=0,"",IF(V8&gt;10,ROUNDDOWN((V8-10)/2,0),ROUNDUP((V8-10)/2,0)))</f>
        <v>0</v>
      </c>
      <c r="W9" s="221"/>
      <c r="X9" s="222">
        <f>IF(X8=0,"",IF(X8&gt;10,ROUNDDOWN((X8-10)/2,0),ROUNDUP((X8-10)/2,0)))</f>
        <v>0</v>
      </c>
      <c r="Y9" s="221"/>
      <c r="AA9" s="220">
        <f>IF(AA8=0,"",IF(AA8&gt;10,ROUNDDOWN((AA8-10)/2,0),ROUNDUP((AA8-10)/2,0)))</f>
        <v>3</v>
      </c>
      <c r="AB9" s="221"/>
      <c r="AC9" s="222">
        <f>IF(AC8=0,"",IF(AC8&gt;10,ROUNDDOWN((AC8-10)/2,0),ROUNDUP((AC8-10)/2,0)))</f>
        <v>1</v>
      </c>
      <c r="AD9" s="221"/>
      <c r="AE9" s="222">
        <f>IF(AE8=0,"",IF(AE8&gt;10,ROUNDDOWN((AE8-10)/2,0),ROUNDUP((AE8-10)/2,0)))</f>
        <v>3</v>
      </c>
      <c r="AF9" s="221"/>
      <c r="AG9" s="222">
        <f>IF(AG8=0,"",IF(AG8&gt;10,ROUNDDOWN((AG8-10)/2,0),ROUNDUP((AG8-10)/2,0)))</f>
        <v>-1</v>
      </c>
      <c r="AH9" s="221"/>
      <c r="AI9" s="222">
        <f>IF(AI8=0,"",IF(AI8&gt;10,ROUNDDOWN((AI8-10)/2,0),ROUNDUP((AI8-10)/2,0)))</f>
        <v>0</v>
      </c>
      <c r="AJ9" s="221"/>
      <c r="AK9" s="222">
        <f>IF(AK8=0,"",IF(AK8&gt;10,ROUNDDOWN((AK8-10)/2,0),ROUNDUP((AK8-10)/2,0)))</f>
        <v>-1</v>
      </c>
      <c r="AL9" s="221"/>
    </row>
    <row r="10" spans="1:38" ht="15.75" customHeight="1" x14ac:dyDescent="0.25">
      <c r="A10" s="220"/>
      <c r="B10" s="221"/>
      <c r="C10" s="222"/>
      <c r="D10" s="221"/>
      <c r="E10" s="222"/>
      <c r="F10" s="221"/>
      <c r="G10" s="222"/>
      <c r="H10" s="221"/>
      <c r="I10" s="222"/>
      <c r="J10" s="221"/>
      <c r="K10" s="222"/>
      <c r="L10" s="221"/>
      <c r="N10" s="220"/>
      <c r="O10" s="221"/>
      <c r="P10" s="222"/>
      <c r="Q10" s="221"/>
      <c r="R10" s="222"/>
      <c r="S10" s="221"/>
      <c r="T10" s="222"/>
      <c r="U10" s="221"/>
      <c r="V10" s="222"/>
      <c r="W10" s="221"/>
      <c r="X10" s="222"/>
      <c r="Y10" s="221"/>
      <c r="AA10" s="220"/>
      <c r="AB10" s="221"/>
      <c r="AC10" s="222"/>
      <c r="AD10" s="221"/>
      <c r="AE10" s="222"/>
      <c r="AF10" s="221"/>
      <c r="AG10" s="222"/>
      <c r="AH10" s="221"/>
      <c r="AI10" s="222"/>
      <c r="AJ10" s="221"/>
      <c r="AK10" s="222"/>
      <c r="AL10" s="221"/>
    </row>
    <row r="11" spans="1:38" ht="15.75" thickBot="1" x14ac:dyDescent="0.3">
      <c r="A11" s="215" t="s">
        <v>917</v>
      </c>
      <c r="B11" s="216"/>
      <c r="C11" s="217" t="s">
        <v>918</v>
      </c>
      <c r="D11" s="216"/>
      <c r="E11" s="217" t="s">
        <v>919</v>
      </c>
      <c r="F11" s="216"/>
      <c r="G11" s="217" t="s">
        <v>920</v>
      </c>
      <c r="H11" s="216"/>
      <c r="I11" s="217" t="s">
        <v>921</v>
      </c>
      <c r="J11" s="216"/>
      <c r="K11" s="217" t="s">
        <v>922</v>
      </c>
      <c r="L11" s="216"/>
      <c r="N11" s="215" t="s">
        <v>917</v>
      </c>
      <c r="O11" s="216"/>
      <c r="P11" s="217" t="s">
        <v>918</v>
      </c>
      <c r="Q11" s="216"/>
      <c r="R11" s="217" t="s">
        <v>919</v>
      </c>
      <c r="S11" s="216"/>
      <c r="T11" s="217" t="s">
        <v>920</v>
      </c>
      <c r="U11" s="216"/>
      <c r="V11" s="217" t="s">
        <v>921</v>
      </c>
      <c r="W11" s="216"/>
      <c r="X11" s="217" t="s">
        <v>922</v>
      </c>
      <c r="Y11" s="216"/>
      <c r="AA11" s="215" t="s">
        <v>917</v>
      </c>
      <c r="AB11" s="216"/>
      <c r="AC11" s="217" t="s">
        <v>918</v>
      </c>
      <c r="AD11" s="216"/>
      <c r="AE11" s="217" t="s">
        <v>919</v>
      </c>
      <c r="AF11" s="216"/>
      <c r="AG11" s="217" t="s">
        <v>920</v>
      </c>
      <c r="AH11" s="216"/>
      <c r="AI11" s="217" t="s">
        <v>921</v>
      </c>
      <c r="AJ11" s="216"/>
      <c r="AK11" s="217" t="s">
        <v>922</v>
      </c>
      <c r="AL11" s="216"/>
    </row>
    <row r="12" spans="1:38" ht="15" customHeight="1" thickBot="1" x14ac:dyDescent="0.3">
      <c r="A12" s="180" t="s">
        <v>923</v>
      </c>
      <c r="B12" s="181"/>
      <c r="C12" s="181"/>
      <c r="D12" s="181"/>
      <c r="E12" s="181"/>
      <c r="F12" s="182"/>
      <c r="G12" s="180" t="s">
        <v>924</v>
      </c>
      <c r="H12" s="181"/>
      <c r="I12" s="181"/>
      <c r="J12" s="181"/>
      <c r="K12" s="181"/>
      <c r="L12" s="182"/>
      <c r="M12" s="130"/>
      <c r="N12" s="180" t="s">
        <v>923</v>
      </c>
      <c r="O12" s="181"/>
      <c r="P12" s="181"/>
      <c r="Q12" s="181"/>
      <c r="R12" s="181"/>
      <c r="S12" s="182"/>
      <c r="T12" s="180" t="s">
        <v>924</v>
      </c>
      <c r="U12" s="181"/>
      <c r="V12" s="181"/>
      <c r="W12" s="181"/>
      <c r="X12" s="181"/>
      <c r="Y12" s="182"/>
      <c r="AA12" s="180" t="s">
        <v>923</v>
      </c>
      <c r="AB12" s="181"/>
      <c r="AC12" s="181"/>
      <c r="AD12" s="181"/>
      <c r="AE12" s="181"/>
      <c r="AF12" s="182"/>
      <c r="AG12" s="180" t="s">
        <v>924</v>
      </c>
      <c r="AH12" s="181"/>
      <c r="AI12" s="181"/>
      <c r="AJ12" s="181"/>
      <c r="AK12" s="181"/>
      <c r="AL12" s="182"/>
    </row>
    <row r="13" spans="1:38" ht="15.75" customHeight="1" x14ac:dyDescent="0.3">
      <c r="A13" s="131" t="s">
        <v>917</v>
      </c>
      <c r="B13" s="132">
        <f>IFERROR(IF(C13="prof",A9+A2,A9),"")</f>
        <v>0</v>
      </c>
      <c r="C13" s="133" t="s">
        <v>925</v>
      </c>
      <c r="D13" s="134" t="s">
        <v>920</v>
      </c>
      <c r="E13" s="135">
        <f>IFERROR(IF(F13="prof",G9+A2,G9),"")</f>
        <v>0</v>
      </c>
      <c r="F13" s="136" t="s">
        <v>925</v>
      </c>
      <c r="G13" s="207" t="s">
        <v>926</v>
      </c>
      <c r="H13" s="208"/>
      <c r="I13" s="208"/>
      <c r="J13" s="211">
        <f>IFERROR(IF(L13="prof",I9+A2+10,I9+10),"")</f>
        <v>12</v>
      </c>
      <c r="K13" s="211"/>
      <c r="L13" s="213" t="s">
        <v>925</v>
      </c>
      <c r="N13" s="131" t="s">
        <v>917</v>
      </c>
      <c r="O13" s="132">
        <f>IFERROR(IF(P13="prof",N9+N2,N9),"")</f>
        <v>0</v>
      </c>
      <c r="P13" s="133" t="s">
        <v>925</v>
      </c>
      <c r="Q13" s="134" t="s">
        <v>920</v>
      </c>
      <c r="R13" s="135">
        <f>IFERROR(IF(S13="prof",T9+N2,T9),"")</f>
        <v>0</v>
      </c>
      <c r="S13" s="136" t="s">
        <v>925</v>
      </c>
      <c r="T13" s="207" t="s">
        <v>926</v>
      </c>
      <c r="U13" s="208"/>
      <c r="V13" s="208"/>
      <c r="W13" s="211">
        <f>IFERROR(IF(Y13="prof",V9+N2+10,V9+10),"")</f>
        <v>10</v>
      </c>
      <c r="X13" s="211"/>
      <c r="Y13" s="213" t="s">
        <v>925</v>
      </c>
      <c r="AA13" s="131" t="s">
        <v>917</v>
      </c>
      <c r="AB13" s="132">
        <f>IFERROR(IF(AC13="prof",AA9+AA2,AA9),"")</f>
        <v>3</v>
      </c>
      <c r="AC13" s="133" t="s">
        <v>925</v>
      </c>
      <c r="AD13" s="134" t="s">
        <v>920</v>
      </c>
      <c r="AE13" s="135">
        <f>IFERROR(IF(AF13="prof",AG9+AA2,AG9),"")</f>
        <v>-1</v>
      </c>
      <c r="AF13" s="136" t="s">
        <v>925</v>
      </c>
      <c r="AG13" s="207" t="s">
        <v>926</v>
      </c>
      <c r="AH13" s="208"/>
      <c r="AI13" s="208"/>
      <c r="AJ13" s="211">
        <f>IFERROR(IF(AL13="prof",AI9+AA2+10,AI9+10),"")</f>
        <v>10</v>
      </c>
      <c r="AK13" s="211"/>
      <c r="AL13" s="213" t="s">
        <v>925</v>
      </c>
    </row>
    <row r="14" spans="1:38" ht="15.75" customHeight="1" x14ac:dyDescent="0.3">
      <c r="A14" s="134" t="s">
        <v>918</v>
      </c>
      <c r="B14" s="135">
        <f>IFERROR(IF(C14="prof",C9+A2,C9),"")</f>
        <v>0</v>
      </c>
      <c r="C14" s="137" t="s">
        <v>925</v>
      </c>
      <c r="D14" s="134" t="s">
        <v>921</v>
      </c>
      <c r="E14" s="135">
        <f>IFERROR(IF(F14="prof",I9+A2,I9),"")</f>
        <v>2</v>
      </c>
      <c r="F14" s="136" t="s">
        <v>925</v>
      </c>
      <c r="G14" s="209"/>
      <c r="H14" s="210"/>
      <c r="I14" s="210"/>
      <c r="J14" s="212"/>
      <c r="K14" s="212"/>
      <c r="L14" s="214"/>
      <c r="N14" s="134" t="s">
        <v>918</v>
      </c>
      <c r="O14" s="135">
        <f>IFERROR(IF(P14="prof",P9+N2,P9),"")</f>
        <v>1</v>
      </c>
      <c r="P14" s="137" t="s">
        <v>925</v>
      </c>
      <c r="Q14" s="134" t="s">
        <v>921</v>
      </c>
      <c r="R14" s="135">
        <f>IFERROR(IF(S14="prof",V9+N2,V9),"")</f>
        <v>0</v>
      </c>
      <c r="S14" s="136" t="s">
        <v>925</v>
      </c>
      <c r="T14" s="209"/>
      <c r="U14" s="210"/>
      <c r="V14" s="210"/>
      <c r="W14" s="212"/>
      <c r="X14" s="212"/>
      <c r="Y14" s="214"/>
      <c r="AA14" s="134" t="s">
        <v>918</v>
      </c>
      <c r="AB14" s="135">
        <f>IFERROR(IF(AC14="prof",AC9+AA2,AC9),"")</f>
        <v>1</v>
      </c>
      <c r="AC14" s="137" t="s">
        <v>925</v>
      </c>
      <c r="AD14" s="134" t="s">
        <v>921</v>
      </c>
      <c r="AE14" s="135">
        <f>IFERROR(IF(AF14="prof",AI9+AA2,AI9),"")</f>
        <v>0</v>
      </c>
      <c r="AF14" s="136" t="s">
        <v>925</v>
      </c>
      <c r="AG14" s="209"/>
      <c r="AH14" s="210"/>
      <c r="AI14" s="210"/>
      <c r="AJ14" s="212"/>
      <c r="AK14" s="212"/>
      <c r="AL14" s="214"/>
    </row>
    <row r="15" spans="1:38" ht="15.75" customHeight="1" thickBot="1" x14ac:dyDescent="0.35">
      <c r="A15" s="134" t="s">
        <v>919</v>
      </c>
      <c r="B15" s="135">
        <f>IFERROR(IF(C15="prof",E9+A2,E9),"")</f>
        <v>0</v>
      </c>
      <c r="C15" s="137" t="s">
        <v>925</v>
      </c>
      <c r="D15" s="134" t="s">
        <v>927</v>
      </c>
      <c r="E15" s="135">
        <f>IFERROR(IF(F15="prof",K9+A2,K9),"")</f>
        <v>0</v>
      </c>
      <c r="F15" s="136" t="s">
        <v>925</v>
      </c>
      <c r="G15" s="199" t="s">
        <v>915</v>
      </c>
      <c r="H15" s="186"/>
      <c r="I15" s="138">
        <v>0</v>
      </c>
      <c r="J15" s="199" t="s">
        <v>915</v>
      </c>
      <c r="K15" s="186"/>
      <c r="L15" s="139">
        <v>0</v>
      </c>
      <c r="N15" s="134" t="s">
        <v>919</v>
      </c>
      <c r="O15" s="135">
        <f>IFERROR(IF(P15="prof",R9+N2,R9),"")</f>
        <v>1</v>
      </c>
      <c r="P15" s="137" t="s">
        <v>925</v>
      </c>
      <c r="Q15" s="134" t="s">
        <v>927</v>
      </c>
      <c r="R15" s="135">
        <f>IFERROR(IF(S15="prof",X9+N2,X9),"")</f>
        <v>0</v>
      </c>
      <c r="S15" s="136" t="s">
        <v>925</v>
      </c>
      <c r="T15" s="199" t="s">
        <v>915</v>
      </c>
      <c r="U15" s="186"/>
      <c r="V15" s="138">
        <v>0</v>
      </c>
      <c r="W15" s="199" t="s">
        <v>915</v>
      </c>
      <c r="X15" s="186"/>
      <c r="Y15" s="139">
        <v>0</v>
      </c>
      <c r="AA15" s="134" t="s">
        <v>919</v>
      </c>
      <c r="AB15" s="135">
        <f>IFERROR(IF(AC15="prof",AE9+AA2,AE9),"")</f>
        <v>3</v>
      </c>
      <c r="AC15" s="137" t="s">
        <v>925</v>
      </c>
      <c r="AD15" s="134" t="s">
        <v>927</v>
      </c>
      <c r="AE15" s="135">
        <f>IFERROR(IF(AF15="prof",AK9+AA2,AK9),"")</f>
        <v>-1</v>
      </c>
      <c r="AF15" s="136" t="s">
        <v>925</v>
      </c>
      <c r="AG15" s="199" t="s">
        <v>915</v>
      </c>
      <c r="AH15" s="186"/>
      <c r="AI15" s="138">
        <v>0</v>
      </c>
      <c r="AJ15" s="199" t="s">
        <v>915</v>
      </c>
      <c r="AK15" s="186"/>
      <c r="AL15" s="139">
        <v>0</v>
      </c>
    </row>
    <row r="16" spans="1:38" ht="15.75" thickBot="1" x14ac:dyDescent="0.3">
      <c r="A16" s="180" t="s">
        <v>928</v>
      </c>
      <c r="B16" s="181"/>
      <c r="C16" s="181"/>
      <c r="D16" s="181"/>
      <c r="E16" s="181"/>
      <c r="F16" s="182"/>
      <c r="G16" s="180" t="s">
        <v>929</v>
      </c>
      <c r="H16" s="181"/>
      <c r="I16" s="181"/>
      <c r="J16" s="181"/>
      <c r="K16" s="181"/>
      <c r="L16" s="182"/>
      <c r="N16" s="180" t="s">
        <v>928</v>
      </c>
      <c r="O16" s="181"/>
      <c r="P16" s="181"/>
      <c r="Q16" s="181"/>
      <c r="R16" s="181"/>
      <c r="S16" s="182"/>
      <c r="T16" s="180" t="s">
        <v>929</v>
      </c>
      <c r="U16" s="181"/>
      <c r="V16" s="181"/>
      <c r="W16" s="181"/>
      <c r="X16" s="181"/>
      <c r="Y16" s="182"/>
      <c r="AA16" s="180" t="s">
        <v>928</v>
      </c>
      <c r="AB16" s="181"/>
      <c r="AC16" s="181"/>
      <c r="AD16" s="181"/>
      <c r="AE16" s="181"/>
      <c r="AF16" s="182"/>
      <c r="AG16" s="180" t="s">
        <v>929</v>
      </c>
      <c r="AH16" s="181"/>
      <c r="AI16" s="181"/>
      <c r="AJ16" s="181"/>
      <c r="AK16" s="181"/>
      <c r="AL16" s="182"/>
    </row>
    <row r="17" spans="1:38" ht="16.5" x14ac:dyDescent="0.3">
      <c r="A17" s="199" t="s">
        <v>930</v>
      </c>
      <c r="B17" s="186"/>
      <c r="C17" s="186"/>
      <c r="D17" s="140" t="s">
        <v>931</v>
      </c>
      <c r="E17" s="140">
        <f>IF(F17="expert",2,IF(F17="prof",1,0))*A2+VALUE(IF(D17="Str",A9,IF(D17="Dex",C9,IF(D17="Con",E9,IF(D17="Int",G9,IF(D17="Wis",I9,IF(D17="Cha",K9,"")))))))</f>
        <v>2</v>
      </c>
      <c r="F17" s="141" t="s">
        <v>932</v>
      </c>
      <c r="G17" s="205"/>
      <c r="H17" s="206"/>
      <c r="I17" s="142"/>
      <c r="J17" s="206"/>
      <c r="K17" s="206"/>
      <c r="L17" s="143"/>
      <c r="N17" s="240" t="s">
        <v>915</v>
      </c>
      <c r="O17" s="241"/>
      <c r="P17" s="185"/>
      <c r="Q17" s="140" t="s">
        <v>931</v>
      </c>
      <c r="R17" s="140">
        <f>IF(S17="expert",2,IF(S17="prof",1,0))*N2+VALUE(IF(Q17="Str",N9,IF(Q17="Dex",P9,IF(Q17="Con",R9,IF(Q17="Int",T9,IF(Q17="Wis",V9,IF(Q17="Cha",X9,"")))))))</f>
        <v>0</v>
      </c>
      <c r="S17" s="141" t="s">
        <v>915</v>
      </c>
      <c r="T17" s="205"/>
      <c r="U17" s="206"/>
      <c r="V17" s="142"/>
      <c r="W17" s="206"/>
      <c r="X17" s="206"/>
      <c r="Y17" s="143"/>
      <c r="AA17" s="240" t="s">
        <v>915</v>
      </c>
      <c r="AB17" s="241"/>
      <c r="AC17" s="185"/>
      <c r="AD17" s="140" t="s">
        <v>931</v>
      </c>
      <c r="AE17" s="140">
        <f>IF(AF17="expert",2,IF(AF17="prof",1,0))*AA2+VALUE(IF(AD17="Str",AA9,IF(AD17="Dex",AC9,IF(AD17="Con",AE9,IF(AD17="Int",AG9,IF(AD17="Wis",AI9,IF(AD17="Cha",AK9,"")))))))</f>
        <v>3</v>
      </c>
      <c r="AF17" s="141" t="s">
        <v>915</v>
      </c>
      <c r="AG17" s="205"/>
      <c r="AH17" s="206"/>
      <c r="AI17" s="142"/>
      <c r="AJ17" s="206"/>
      <c r="AK17" s="206"/>
      <c r="AL17" s="143"/>
    </row>
    <row r="18" spans="1:38" ht="16.5" x14ac:dyDescent="0.3">
      <c r="A18" s="199" t="s">
        <v>933</v>
      </c>
      <c r="B18" s="186"/>
      <c r="C18" s="186"/>
      <c r="D18" s="140" t="s">
        <v>934</v>
      </c>
      <c r="E18" s="140">
        <f>IF(F18="expert",2,IF(F18="prof",1,0))*A2+VALUE(IF(D18="Str",A9,IF(D18="Dex",C9,IF(D18="Con",E9,IF(D18="Int",G9,IF(D18="Wis",I9,IF(D18="Cha",K9,"")))))))</f>
        <v>2</v>
      </c>
      <c r="F18" s="141" t="s">
        <v>932</v>
      </c>
      <c r="G18" s="199"/>
      <c r="H18" s="186"/>
      <c r="I18" s="137"/>
      <c r="J18" s="186"/>
      <c r="K18" s="186"/>
      <c r="L18" s="141"/>
      <c r="N18" s="240" t="s">
        <v>915</v>
      </c>
      <c r="O18" s="241"/>
      <c r="P18" s="185"/>
      <c r="Q18" s="140" t="s">
        <v>934</v>
      </c>
      <c r="R18" s="140">
        <f>IF(S18="expert",2,IF(S18="prof",1,0))*N2+VALUE(IF(Q18="Str",N9,IF(Q18="Dex",P9,IF(Q18="Con",R9,IF(Q18="Int",T9,IF(Q18="Wis",V9,IF(Q18="Cha",X9,"")))))))</f>
        <v>1</v>
      </c>
      <c r="S18" s="141" t="s">
        <v>915</v>
      </c>
      <c r="T18" s="199"/>
      <c r="U18" s="186"/>
      <c r="V18" s="137"/>
      <c r="W18" s="186"/>
      <c r="X18" s="186"/>
      <c r="Y18" s="141"/>
      <c r="AA18" s="240" t="s">
        <v>915</v>
      </c>
      <c r="AB18" s="241"/>
      <c r="AC18" s="185"/>
      <c r="AD18" s="140" t="s">
        <v>934</v>
      </c>
      <c r="AE18" s="140">
        <f>IF(AF18="expert",2,IF(AF18="prof",1,0))*AA2+VALUE(IF(AD18="Str",AA9,IF(AD18="Dex",AC9,IF(AD18="Con",AE9,IF(AD18="Int",AG9,IF(AD18="Wis",AI9,IF(AD18="Cha",AK9,"")))))))</f>
        <v>1</v>
      </c>
      <c r="AF18" s="141" t="s">
        <v>915</v>
      </c>
      <c r="AG18" s="199"/>
      <c r="AH18" s="186"/>
      <c r="AI18" s="137"/>
      <c r="AJ18" s="186"/>
      <c r="AK18" s="186"/>
      <c r="AL18" s="141"/>
    </row>
    <row r="19" spans="1:38" ht="16.5" x14ac:dyDescent="0.3">
      <c r="A19" s="199" t="s">
        <v>915</v>
      </c>
      <c r="B19" s="186"/>
      <c r="C19" s="186"/>
      <c r="D19" s="140" t="s">
        <v>935</v>
      </c>
      <c r="E19" s="140">
        <f>IF(F19="expert",2,IF(F19="prof",1,0))*A2+VALUE(IF(D19="Str",A9,IF(D19="Dex",C9,IF(D19="Con",E9,IF(D19="Int",G9,IF(D19="Wis",I9,IF(D19="Cha",K9,"")))))))</f>
        <v>0</v>
      </c>
      <c r="F19" s="141" t="s">
        <v>915</v>
      </c>
      <c r="G19" s="199"/>
      <c r="H19" s="186"/>
      <c r="I19" s="137"/>
      <c r="J19" s="186"/>
      <c r="K19" s="186"/>
      <c r="L19" s="141"/>
      <c r="N19" s="240" t="s">
        <v>915</v>
      </c>
      <c r="O19" s="241"/>
      <c r="P19" s="185"/>
      <c r="Q19" s="140" t="s">
        <v>935</v>
      </c>
      <c r="R19" s="140">
        <f>IF(S19="expert",2,IF(S19="prof",1,0))*N2+VALUE(IF(Q19="Str",N9,IF(Q19="Dex",P9,IF(Q19="Con",R9,IF(Q19="Int",T9,IF(Q19="Wis",V9,IF(Q19="Cha",X9,"")))))))</f>
        <v>1</v>
      </c>
      <c r="S19" s="141" t="s">
        <v>915</v>
      </c>
      <c r="T19" s="199"/>
      <c r="U19" s="186"/>
      <c r="V19" s="137"/>
      <c r="W19" s="186"/>
      <c r="X19" s="186"/>
      <c r="Y19" s="141"/>
      <c r="AA19" s="240" t="s">
        <v>915</v>
      </c>
      <c r="AB19" s="241"/>
      <c r="AC19" s="185"/>
      <c r="AD19" s="140" t="s">
        <v>935</v>
      </c>
      <c r="AE19" s="140">
        <f>IF(AF19="expert",2,IF(AF19="prof",1,0))*AA2+VALUE(IF(AD19="Str",AA9,IF(AD19="Dex",AC9,IF(AD19="Con",AE9,IF(AD19="Int",AG9,IF(AD19="Wis",AI9,IF(AD19="Cha",AK9,"")))))))</f>
        <v>3</v>
      </c>
      <c r="AF19" s="141" t="s">
        <v>915</v>
      </c>
      <c r="AG19" s="199"/>
      <c r="AH19" s="186"/>
      <c r="AI19" s="137"/>
      <c r="AJ19" s="186"/>
      <c r="AK19" s="186"/>
      <c r="AL19" s="141"/>
    </row>
    <row r="20" spans="1:38" ht="16.5" x14ac:dyDescent="0.3">
      <c r="A20" s="199" t="s">
        <v>936</v>
      </c>
      <c r="B20" s="186"/>
      <c r="C20" s="186"/>
      <c r="D20" s="140" t="s">
        <v>937</v>
      </c>
      <c r="E20" s="140">
        <f>IF(F20="expert",2,IF(F20="prof",1,0))*A2+VALUE(IF(D20="Str",A9,IF(D20="Dex",C9,IF(D20="Con",E9,IF(D20="Int",G9,IF(D20="Wis",I9,IF(D20="Cha",K9,"")))))))</f>
        <v>0</v>
      </c>
      <c r="F20" s="141" t="s">
        <v>915</v>
      </c>
      <c r="G20" s="199"/>
      <c r="H20" s="186"/>
      <c r="I20" s="137"/>
      <c r="J20" s="186"/>
      <c r="K20" s="186"/>
      <c r="L20" s="141"/>
      <c r="N20" s="240" t="s">
        <v>915</v>
      </c>
      <c r="O20" s="241"/>
      <c r="P20" s="185"/>
      <c r="Q20" s="140" t="s">
        <v>937</v>
      </c>
      <c r="R20" s="140">
        <f>IF(S20="expert",2,IF(S20="prof",1,0))*N2+VALUE(IF(Q20="Str",N9,IF(Q20="Dex",P9,IF(Q20="Con",R9,IF(Q20="Int",T9,IF(Q20="Wis",V9,IF(Q20="Cha",X9,"")))))))</f>
        <v>0</v>
      </c>
      <c r="S20" s="141" t="s">
        <v>915</v>
      </c>
      <c r="T20" s="199"/>
      <c r="U20" s="186"/>
      <c r="V20" s="137"/>
      <c r="W20" s="186"/>
      <c r="X20" s="186"/>
      <c r="Y20" s="141"/>
      <c r="AA20" s="240" t="s">
        <v>915</v>
      </c>
      <c r="AB20" s="241"/>
      <c r="AC20" s="185"/>
      <c r="AD20" s="140" t="s">
        <v>937</v>
      </c>
      <c r="AE20" s="140">
        <f>IF(AF20="expert",2,IF(AF20="prof",1,0))*AA2+VALUE(IF(AD20="Str",AA9,IF(AD20="Dex",AC9,IF(AD20="Con",AE9,IF(AD20="Int",AG9,IF(AD20="Wis",AI9,IF(AD20="Cha",AK9,"")))))))</f>
        <v>-1</v>
      </c>
      <c r="AF20" s="141" t="s">
        <v>915</v>
      </c>
      <c r="AG20" s="199"/>
      <c r="AH20" s="186"/>
      <c r="AI20" s="137"/>
      <c r="AJ20" s="186"/>
      <c r="AK20" s="186"/>
      <c r="AL20" s="141"/>
    </row>
    <row r="21" spans="1:38" ht="17.25" thickBot="1" x14ac:dyDescent="0.35">
      <c r="A21" s="197" t="s">
        <v>936</v>
      </c>
      <c r="B21" s="198"/>
      <c r="C21" s="198"/>
      <c r="D21" s="144" t="s">
        <v>938</v>
      </c>
      <c r="E21" s="144">
        <f>IF(F21="expert",2,IF(F21="prof",1,0))*A2+VALUE(IF(D21="Str",A9,IF(D21="Dex",C9,IF(D21="Con",E9,IF(D21="Int",G9,IF(D21="Wis",I9,IF(D21="Cha",K9,"")))))))</f>
        <v>2</v>
      </c>
      <c r="F21" s="145" t="s">
        <v>915</v>
      </c>
      <c r="G21" s="199"/>
      <c r="H21" s="186"/>
      <c r="I21" s="137"/>
      <c r="J21" s="186"/>
      <c r="K21" s="186"/>
      <c r="L21" s="141"/>
      <c r="N21" s="240" t="s">
        <v>915</v>
      </c>
      <c r="O21" s="241"/>
      <c r="P21" s="185"/>
      <c r="Q21" s="144" t="s">
        <v>938</v>
      </c>
      <c r="R21" s="144">
        <f>IF(S21="expert",2,IF(S21="prof",1,0))*N2+VALUE(IF(Q21="Str",N9,IF(Q21="Dex",P9,IF(Q21="Con",R9,IF(Q21="Int",T9,IF(Q21="Wis",V9,IF(Q21="Cha",X9,"")))))))</f>
        <v>0</v>
      </c>
      <c r="S21" s="145" t="s">
        <v>915</v>
      </c>
      <c r="T21" s="199"/>
      <c r="U21" s="186"/>
      <c r="V21" s="137"/>
      <c r="W21" s="186"/>
      <c r="X21" s="186"/>
      <c r="Y21" s="141"/>
      <c r="AA21" s="240" t="s">
        <v>915</v>
      </c>
      <c r="AB21" s="241"/>
      <c r="AC21" s="185"/>
      <c r="AD21" s="144" t="s">
        <v>938</v>
      </c>
      <c r="AE21" s="144">
        <f>IF(AF21="expert",2,IF(AF21="prof",1,0))*AA2+VALUE(IF(AD21="Str",AA9,IF(AD21="Dex",AC9,IF(AD21="Con",AE9,IF(AD21="Int",AG9,IF(AD21="Wis",AI9,IF(AD21="Cha",AK9,"")))))))</f>
        <v>0</v>
      </c>
      <c r="AF21" s="145" t="s">
        <v>915</v>
      </c>
      <c r="AG21" s="199"/>
      <c r="AH21" s="186"/>
      <c r="AI21" s="137"/>
      <c r="AJ21" s="186"/>
      <c r="AK21" s="186"/>
      <c r="AL21" s="141"/>
    </row>
    <row r="22" spans="1:38" ht="17.25" thickBot="1" x14ac:dyDescent="0.35">
      <c r="A22" s="200" t="s">
        <v>939</v>
      </c>
      <c r="B22" s="201"/>
      <c r="C22" s="201"/>
      <c r="D22" s="202"/>
      <c r="E22" s="203" t="s">
        <v>940</v>
      </c>
      <c r="F22" s="204"/>
      <c r="G22" s="185"/>
      <c r="H22" s="186"/>
      <c r="I22" s="137"/>
      <c r="J22" s="186"/>
      <c r="K22" s="186"/>
      <c r="L22" s="141"/>
      <c r="N22" s="200" t="s">
        <v>939</v>
      </c>
      <c r="O22" s="201"/>
      <c r="P22" s="201"/>
      <c r="Q22" s="202"/>
      <c r="R22" s="203" t="s">
        <v>940</v>
      </c>
      <c r="S22" s="204"/>
      <c r="T22" s="185"/>
      <c r="U22" s="186"/>
      <c r="V22" s="137"/>
      <c r="W22" s="186"/>
      <c r="X22" s="186"/>
      <c r="Y22" s="141"/>
      <c r="AA22" s="200" t="s">
        <v>939</v>
      </c>
      <c r="AB22" s="201"/>
      <c r="AC22" s="201"/>
      <c r="AD22" s="202"/>
      <c r="AE22" s="203" t="s">
        <v>940</v>
      </c>
      <c r="AF22" s="204"/>
      <c r="AG22" s="185"/>
      <c r="AH22" s="186"/>
      <c r="AI22" s="137"/>
      <c r="AJ22" s="186"/>
      <c r="AK22" s="186"/>
      <c r="AL22" s="141"/>
    </row>
    <row r="23" spans="1:38" ht="16.5" x14ac:dyDescent="0.3">
      <c r="A23" s="190"/>
      <c r="B23" s="191"/>
      <c r="C23" s="191"/>
      <c r="D23" s="191"/>
      <c r="E23" s="186"/>
      <c r="F23" s="192"/>
      <c r="G23" s="185"/>
      <c r="H23" s="186"/>
      <c r="I23" s="137"/>
      <c r="J23" s="186"/>
      <c r="K23" s="186"/>
      <c r="L23" s="141"/>
      <c r="N23" s="190"/>
      <c r="O23" s="191"/>
      <c r="P23" s="191"/>
      <c r="Q23" s="191"/>
      <c r="R23" s="186"/>
      <c r="S23" s="192"/>
      <c r="T23" s="185"/>
      <c r="U23" s="186"/>
      <c r="V23" s="137"/>
      <c r="W23" s="186"/>
      <c r="X23" s="186"/>
      <c r="Y23" s="141"/>
      <c r="AA23" s="190"/>
      <c r="AB23" s="191"/>
      <c r="AC23" s="191"/>
      <c r="AD23" s="191"/>
      <c r="AE23" s="186"/>
      <c r="AF23" s="192"/>
      <c r="AG23" s="185"/>
      <c r="AH23" s="186"/>
      <c r="AI23" s="137"/>
      <c r="AJ23" s="186"/>
      <c r="AK23" s="186"/>
      <c r="AL23" s="141"/>
    </row>
    <row r="24" spans="1:38" ht="17.25" thickBot="1" x14ac:dyDescent="0.35">
      <c r="A24" s="193"/>
      <c r="B24" s="194"/>
      <c r="C24" s="194"/>
      <c r="D24" s="194"/>
      <c r="E24" s="194"/>
      <c r="F24" s="195"/>
      <c r="G24" s="196"/>
      <c r="H24" s="194"/>
      <c r="I24" s="146"/>
      <c r="J24" s="194"/>
      <c r="K24" s="194"/>
      <c r="L24" s="147"/>
      <c r="N24" s="193"/>
      <c r="O24" s="194"/>
      <c r="P24" s="194"/>
      <c r="Q24" s="194"/>
      <c r="R24" s="194"/>
      <c r="S24" s="195"/>
      <c r="T24" s="196"/>
      <c r="U24" s="194"/>
      <c r="V24" s="146"/>
      <c r="W24" s="194"/>
      <c r="X24" s="194"/>
      <c r="Y24" s="147"/>
      <c r="AA24" s="193"/>
      <c r="AB24" s="194"/>
      <c r="AC24" s="194"/>
      <c r="AD24" s="194"/>
      <c r="AE24" s="194"/>
      <c r="AF24" s="195"/>
      <c r="AG24" s="196"/>
      <c r="AH24" s="194"/>
      <c r="AI24" s="146"/>
      <c r="AJ24" s="194"/>
      <c r="AK24" s="194"/>
      <c r="AL24" s="147"/>
    </row>
    <row r="25" spans="1:38" ht="15.75" thickBot="1" x14ac:dyDescent="0.3">
      <c r="A25" s="177" t="s">
        <v>941</v>
      </c>
      <c r="B25" s="178"/>
      <c r="C25" s="178"/>
      <c r="D25" s="178"/>
      <c r="E25" s="178"/>
      <c r="F25" s="179"/>
      <c r="G25" s="180" t="s">
        <v>942</v>
      </c>
      <c r="H25" s="181"/>
      <c r="I25" s="181"/>
      <c r="J25" s="181"/>
      <c r="K25" s="181"/>
      <c r="L25" s="182"/>
      <c r="N25" s="177" t="s">
        <v>941</v>
      </c>
      <c r="O25" s="178"/>
      <c r="P25" s="178"/>
      <c r="Q25" s="178"/>
      <c r="R25" s="178"/>
      <c r="S25" s="179"/>
      <c r="T25" s="180" t="s">
        <v>942</v>
      </c>
      <c r="U25" s="181"/>
      <c r="V25" s="181"/>
      <c r="W25" s="181"/>
      <c r="X25" s="181"/>
      <c r="Y25" s="182"/>
      <c r="AA25" s="177" t="s">
        <v>941</v>
      </c>
      <c r="AB25" s="178"/>
      <c r="AC25" s="178"/>
      <c r="AD25" s="178"/>
      <c r="AE25" s="178"/>
      <c r="AF25" s="179"/>
      <c r="AG25" s="180" t="s">
        <v>942</v>
      </c>
      <c r="AH25" s="181"/>
      <c r="AI25" s="181"/>
      <c r="AJ25" s="181"/>
      <c r="AK25" s="181"/>
      <c r="AL25" s="182"/>
    </row>
    <row r="26" spans="1:38" x14ac:dyDescent="0.25">
      <c r="A26" s="183" t="s">
        <v>943</v>
      </c>
      <c r="B26" s="183"/>
      <c r="C26" s="148" t="s">
        <v>944</v>
      </c>
      <c r="D26" s="149" t="s">
        <v>945</v>
      </c>
      <c r="E26" s="149" t="s">
        <v>946</v>
      </c>
      <c r="F26" s="150" t="s">
        <v>947</v>
      </c>
      <c r="G26" s="251" t="s">
        <v>948</v>
      </c>
      <c r="H26" s="169"/>
      <c r="I26" s="169"/>
      <c r="J26" s="169"/>
      <c r="K26" s="169"/>
      <c r="L26" s="170"/>
      <c r="N26" s="183" t="s">
        <v>943</v>
      </c>
      <c r="O26" s="183"/>
      <c r="P26" s="148" t="s">
        <v>944</v>
      </c>
      <c r="Q26" s="149" t="s">
        <v>945</v>
      </c>
      <c r="R26" s="149" t="s">
        <v>946</v>
      </c>
      <c r="S26" s="150" t="s">
        <v>947</v>
      </c>
      <c r="T26" s="251"/>
      <c r="U26" s="169"/>
      <c r="V26" s="169"/>
      <c r="W26" s="169"/>
      <c r="X26" s="169"/>
      <c r="Y26" s="170"/>
      <c r="AA26" s="183" t="s">
        <v>943</v>
      </c>
      <c r="AB26" s="183"/>
      <c r="AC26" s="148" t="s">
        <v>944</v>
      </c>
      <c r="AD26" s="149" t="s">
        <v>945</v>
      </c>
      <c r="AE26" s="149" t="s">
        <v>946</v>
      </c>
      <c r="AF26" s="150" t="s">
        <v>947</v>
      </c>
      <c r="AG26" s="168"/>
      <c r="AH26" s="169"/>
      <c r="AI26" s="169"/>
      <c r="AJ26" s="169"/>
      <c r="AK26" s="169"/>
      <c r="AL26" s="170"/>
    </row>
    <row r="27" spans="1:38" x14ac:dyDescent="0.25">
      <c r="A27" s="186" t="s">
        <v>949</v>
      </c>
      <c r="B27" s="186"/>
      <c r="C27" s="140">
        <v>1</v>
      </c>
      <c r="D27" s="1" t="s">
        <v>950</v>
      </c>
      <c r="E27" s="1">
        <v>2</v>
      </c>
      <c r="F27" s="65" t="s">
        <v>951</v>
      </c>
      <c r="G27" s="171"/>
      <c r="H27" s="172"/>
      <c r="I27" s="172"/>
      <c r="J27" s="172"/>
      <c r="K27" s="172"/>
      <c r="L27" s="173"/>
      <c r="N27" s="186" t="s">
        <v>952</v>
      </c>
      <c r="O27" s="186"/>
      <c r="P27" s="140">
        <v>1</v>
      </c>
      <c r="Q27" s="1" t="s">
        <v>950</v>
      </c>
      <c r="R27" s="151">
        <v>3</v>
      </c>
      <c r="S27" s="65" t="s">
        <v>953</v>
      </c>
      <c r="T27" s="171"/>
      <c r="U27" s="172"/>
      <c r="V27" s="172"/>
      <c r="W27" s="172"/>
      <c r="X27" s="172"/>
      <c r="Y27" s="173"/>
      <c r="AA27" s="186" t="s">
        <v>954</v>
      </c>
      <c r="AB27" s="186"/>
      <c r="AC27" s="140">
        <v>1</v>
      </c>
      <c r="AD27" s="1" t="s">
        <v>950</v>
      </c>
      <c r="AE27" s="151">
        <v>5</v>
      </c>
      <c r="AF27" s="65" t="s">
        <v>955</v>
      </c>
      <c r="AG27" s="171"/>
      <c r="AH27" s="172"/>
      <c r="AI27" s="172"/>
      <c r="AJ27" s="172"/>
      <c r="AK27" s="172"/>
      <c r="AL27" s="173"/>
    </row>
    <row r="28" spans="1:38" x14ac:dyDescent="0.25">
      <c r="A28" s="186"/>
      <c r="B28" s="186"/>
      <c r="C28" s="140"/>
      <c r="D28" s="1" t="s">
        <v>950</v>
      </c>
      <c r="E28" s="1"/>
      <c r="F28" s="65"/>
      <c r="G28" s="171"/>
      <c r="H28" s="172"/>
      <c r="I28" s="172"/>
      <c r="J28" s="172"/>
      <c r="K28" s="172"/>
      <c r="L28" s="173"/>
      <c r="N28" s="186" t="s">
        <v>956</v>
      </c>
      <c r="O28" s="186"/>
      <c r="P28" s="140">
        <v>1</v>
      </c>
      <c r="Q28" s="1" t="s">
        <v>957</v>
      </c>
      <c r="R28" s="151">
        <v>3</v>
      </c>
      <c r="S28" s="65" t="s">
        <v>958</v>
      </c>
      <c r="T28" s="171"/>
      <c r="U28" s="172"/>
      <c r="V28" s="172"/>
      <c r="W28" s="172"/>
      <c r="X28" s="172"/>
      <c r="Y28" s="173"/>
      <c r="AA28" s="186"/>
      <c r="AB28" s="186"/>
      <c r="AC28" s="140"/>
      <c r="AD28" s="1" t="s">
        <v>950</v>
      </c>
      <c r="AE28" s="151"/>
      <c r="AF28" s="65"/>
      <c r="AG28" s="171"/>
      <c r="AH28" s="172"/>
      <c r="AI28" s="172"/>
      <c r="AJ28" s="172"/>
      <c r="AK28" s="172"/>
      <c r="AL28" s="173"/>
    </row>
    <row r="29" spans="1:38" x14ac:dyDescent="0.25">
      <c r="A29" s="186"/>
      <c r="B29" s="186"/>
      <c r="C29" s="140"/>
      <c r="D29" s="1" t="s">
        <v>950</v>
      </c>
      <c r="E29" s="1"/>
      <c r="F29" s="65"/>
      <c r="G29" s="171"/>
      <c r="H29" s="172"/>
      <c r="I29" s="172"/>
      <c r="J29" s="172"/>
      <c r="K29" s="172"/>
      <c r="L29" s="173"/>
      <c r="N29" s="186"/>
      <c r="O29" s="186"/>
      <c r="P29" s="140"/>
      <c r="Q29" s="1" t="s">
        <v>950</v>
      </c>
      <c r="R29" s="1"/>
      <c r="S29" s="65"/>
      <c r="T29" s="171"/>
      <c r="U29" s="172"/>
      <c r="V29" s="172"/>
      <c r="W29" s="172"/>
      <c r="X29" s="172"/>
      <c r="Y29" s="173"/>
      <c r="AA29" s="186"/>
      <c r="AB29" s="186"/>
      <c r="AC29" s="140"/>
      <c r="AD29" s="1" t="s">
        <v>950</v>
      </c>
      <c r="AE29" s="1"/>
      <c r="AF29" s="65"/>
      <c r="AG29" s="171"/>
      <c r="AH29" s="172"/>
      <c r="AI29" s="172"/>
      <c r="AJ29" s="172"/>
      <c r="AK29" s="172"/>
      <c r="AL29" s="173"/>
    </row>
    <row r="30" spans="1:38" ht="16.5" x14ac:dyDescent="0.3">
      <c r="A30" s="187" t="s">
        <v>959</v>
      </c>
      <c r="B30" s="187"/>
      <c r="C30" s="187"/>
      <c r="D30" s="188" t="s">
        <v>938</v>
      </c>
      <c r="E30" s="189"/>
      <c r="F30" s="189"/>
      <c r="G30" s="171"/>
      <c r="H30" s="172"/>
      <c r="I30" s="172"/>
      <c r="J30" s="172"/>
      <c r="K30" s="172"/>
      <c r="L30" s="173"/>
      <c r="N30" s="187" t="s">
        <v>959</v>
      </c>
      <c r="O30" s="187"/>
      <c r="P30" s="187"/>
      <c r="Q30" s="188" t="s">
        <v>915</v>
      </c>
      <c r="R30" s="189"/>
      <c r="S30" s="189"/>
      <c r="T30" s="171"/>
      <c r="U30" s="172"/>
      <c r="V30" s="172"/>
      <c r="W30" s="172"/>
      <c r="X30" s="172"/>
      <c r="Y30" s="173"/>
      <c r="AA30" s="187" t="s">
        <v>959</v>
      </c>
      <c r="AB30" s="187"/>
      <c r="AC30" s="187"/>
      <c r="AD30" s="188" t="s">
        <v>915</v>
      </c>
      <c r="AE30" s="189"/>
      <c r="AF30" s="189"/>
      <c r="AG30" s="171"/>
      <c r="AH30" s="172"/>
      <c r="AI30" s="172"/>
      <c r="AJ30" s="172"/>
      <c r="AK30" s="172"/>
      <c r="AL30" s="173"/>
    </row>
    <row r="31" spans="1:38" ht="15.75" thickBot="1" x14ac:dyDescent="0.3">
      <c r="A31" s="167" t="s">
        <v>960</v>
      </c>
      <c r="B31" s="167"/>
      <c r="C31" s="144">
        <f>A2+IF(D30="Int",G9,IF(D30="Wis",I9,IF(D30="Cha",K9,0)))</f>
        <v>4</v>
      </c>
      <c r="D31" s="167" t="s">
        <v>961</v>
      </c>
      <c r="E31" s="167"/>
      <c r="F31" s="152">
        <f>8+A2+IF(D30="Int",G9,IF(D30="Wis",I9,IF(D30="Cha",K9,0)))</f>
        <v>12</v>
      </c>
      <c r="G31" s="171"/>
      <c r="H31" s="172"/>
      <c r="I31" s="172"/>
      <c r="J31" s="172"/>
      <c r="K31" s="172"/>
      <c r="L31" s="173"/>
      <c r="N31" s="167" t="s">
        <v>960</v>
      </c>
      <c r="O31" s="167"/>
      <c r="P31" s="144">
        <f>N2+IF(Q30="Int",T9,IF(Q30="Wis",V9,IF(Q30="Cha",X9,0)))</f>
        <v>2</v>
      </c>
      <c r="Q31" s="167" t="s">
        <v>961</v>
      </c>
      <c r="R31" s="167"/>
      <c r="S31" s="152">
        <f>8+N2+IF(Q30="Int",T9,IF(Q30="Wis",V9,IF(Q30="Cha",X9,0)))</f>
        <v>10</v>
      </c>
      <c r="T31" s="171"/>
      <c r="U31" s="172"/>
      <c r="V31" s="172"/>
      <c r="W31" s="172"/>
      <c r="X31" s="172"/>
      <c r="Y31" s="173"/>
      <c r="AA31" s="167" t="s">
        <v>960</v>
      </c>
      <c r="AB31" s="167"/>
      <c r="AC31" s="144">
        <f>AA2+IF(AD30="Int",AG9,IF(AD30="Wis",AI9,IF(AD30="Cha",AK9,0)))</f>
        <v>2</v>
      </c>
      <c r="AD31" s="167" t="s">
        <v>961</v>
      </c>
      <c r="AE31" s="167"/>
      <c r="AF31" s="152">
        <f>8+AA2+IF(AD30="Int",AG9,IF(AD30="Wis",AI9,IF(AD30="Cha",AK9,0)))</f>
        <v>10</v>
      </c>
      <c r="AG31" s="171"/>
      <c r="AH31" s="172"/>
      <c r="AI31" s="172"/>
      <c r="AJ31" s="172"/>
      <c r="AK31" s="172"/>
      <c r="AL31" s="173"/>
    </row>
    <row r="32" spans="1:38" x14ac:dyDescent="0.25">
      <c r="A32" s="242"/>
      <c r="B32" s="243"/>
      <c r="C32" s="243"/>
      <c r="D32" s="243"/>
      <c r="E32" s="243"/>
      <c r="F32" s="244"/>
      <c r="G32" s="171"/>
      <c r="H32" s="172"/>
      <c r="I32" s="172"/>
      <c r="J32" s="172"/>
      <c r="K32" s="172"/>
      <c r="L32" s="173"/>
      <c r="N32" s="242"/>
      <c r="O32" s="243"/>
      <c r="P32" s="243"/>
      <c r="Q32" s="243"/>
      <c r="R32" s="243"/>
      <c r="S32" s="244"/>
      <c r="T32" s="171"/>
      <c r="U32" s="172"/>
      <c r="V32" s="172"/>
      <c r="W32" s="172"/>
      <c r="X32" s="172"/>
      <c r="Y32" s="173"/>
      <c r="AA32" s="168" t="s">
        <v>962</v>
      </c>
      <c r="AB32" s="169"/>
      <c r="AC32" s="169"/>
      <c r="AD32" s="169"/>
      <c r="AE32" s="169"/>
      <c r="AF32" s="170"/>
      <c r="AG32" s="171"/>
      <c r="AH32" s="172"/>
      <c r="AI32" s="172"/>
      <c r="AJ32" s="172"/>
      <c r="AK32" s="172"/>
      <c r="AL32" s="173"/>
    </row>
    <row r="33" spans="1:38" x14ac:dyDescent="0.25">
      <c r="A33" s="245"/>
      <c r="B33" s="246"/>
      <c r="C33" s="246"/>
      <c r="D33" s="246"/>
      <c r="E33" s="246"/>
      <c r="F33" s="247"/>
      <c r="G33" s="171"/>
      <c r="H33" s="172"/>
      <c r="I33" s="172"/>
      <c r="J33" s="172"/>
      <c r="K33" s="172"/>
      <c r="L33" s="173"/>
      <c r="N33" s="245"/>
      <c r="O33" s="246"/>
      <c r="P33" s="246"/>
      <c r="Q33" s="246"/>
      <c r="R33" s="246"/>
      <c r="S33" s="247"/>
      <c r="T33" s="171"/>
      <c r="U33" s="172"/>
      <c r="V33" s="172"/>
      <c r="W33" s="172"/>
      <c r="X33" s="172"/>
      <c r="Y33" s="173"/>
      <c r="AA33" s="171"/>
      <c r="AB33" s="172"/>
      <c r="AC33" s="172"/>
      <c r="AD33" s="172"/>
      <c r="AE33" s="172"/>
      <c r="AF33" s="173"/>
      <c r="AG33" s="171"/>
      <c r="AH33" s="172"/>
      <c r="AI33" s="172"/>
      <c r="AJ33" s="172"/>
      <c r="AK33" s="172"/>
      <c r="AL33" s="173"/>
    </row>
    <row r="34" spans="1:38" x14ac:dyDescent="0.25">
      <c r="A34" s="245"/>
      <c r="B34" s="246"/>
      <c r="C34" s="246"/>
      <c r="D34" s="246"/>
      <c r="E34" s="246"/>
      <c r="F34" s="247"/>
      <c r="G34" s="171"/>
      <c r="H34" s="172"/>
      <c r="I34" s="172"/>
      <c r="J34" s="172"/>
      <c r="K34" s="172"/>
      <c r="L34" s="173"/>
      <c r="N34" s="245"/>
      <c r="O34" s="246"/>
      <c r="P34" s="246"/>
      <c r="Q34" s="246"/>
      <c r="R34" s="246"/>
      <c r="S34" s="247"/>
      <c r="T34" s="171"/>
      <c r="U34" s="172"/>
      <c r="V34" s="172"/>
      <c r="W34" s="172"/>
      <c r="X34" s="172"/>
      <c r="Y34" s="173"/>
      <c r="AA34" s="171"/>
      <c r="AB34" s="172"/>
      <c r="AC34" s="172"/>
      <c r="AD34" s="172"/>
      <c r="AE34" s="172"/>
      <c r="AF34" s="173"/>
      <c r="AG34" s="171"/>
      <c r="AH34" s="172"/>
      <c r="AI34" s="172"/>
      <c r="AJ34" s="172"/>
      <c r="AK34" s="172"/>
      <c r="AL34" s="173"/>
    </row>
    <row r="35" spans="1:38" x14ac:dyDescent="0.25">
      <c r="A35" s="245"/>
      <c r="B35" s="246"/>
      <c r="C35" s="246"/>
      <c r="D35" s="246"/>
      <c r="E35" s="246"/>
      <c r="F35" s="247"/>
      <c r="G35" s="171"/>
      <c r="H35" s="172"/>
      <c r="I35" s="172"/>
      <c r="J35" s="172"/>
      <c r="K35" s="172"/>
      <c r="L35" s="173"/>
      <c r="N35" s="245"/>
      <c r="O35" s="246"/>
      <c r="P35" s="246"/>
      <c r="Q35" s="246"/>
      <c r="R35" s="246"/>
      <c r="S35" s="247"/>
      <c r="T35" s="171"/>
      <c r="U35" s="172"/>
      <c r="V35" s="172"/>
      <c r="W35" s="172"/>
      <c r="X35" s="172"/>
      <c r="Y35" s="173"/>
      <c r="AA35" s="171"/>
      <c r="AB35" s="172"/>
      <c r="AC35" s="172"/>
      <c r="AD35" s="172"/>
      <c r="AE35" s="172"/>
      <c r="AF35" s="173"/>
      <c r="AG35" s="171"/>
      <c r="AH35" s="172"/>
      <c r="AI35" s="172"/>
      <c r="AJ35" s="172"/>
      <c r="AK35" s="172"/>
      <c r="AL35" s="173"/>
    </row>
    <row r="36" spans="1:38" x14ac:dyDescent="0.25">
      <c r="A36" s="245"/>
      <c r="B36" s="246"/>
      <c r="C36" s="246"/>
      <c r="D36" s="246"/>
      <c r="E36" s="246"/>
      <c r="F36" s="247"/>
      <c r="G36" s="171"/>
      <c r="H36" s="172"/>
      <c r="I36" s="172"/>
      <c r="J36" s="172"/>
      <c r="K36" s="172"/>
      <c r="L36" s="173"/>
      <c r="N36" s="245"/>
      <c r="O36" s="246"/>
      <c r="P36" s="246"/>
      <c r="Q36" s="246"/>
      <c r="R36" s="246"/>
      <c r="S36" s="247"/>
      <c r="T36" s="171"/>
      <c r="U36" s="172"/>
      <c r="V36" s="172"/>
      <c r="W36" s="172"/>
      <c r="X36" s="172"/>
      <c r="Y36" s="173"/>
      <c r="AA36" s="171"/>
      <c r="AB36" s="172"/>
      <c r="AC36" s="172"/>
      <c r="AD36" s="172"/>
      <c r="AE36" s="172"/>
      <c r="AF36" s="173"/>
      <c r="AG36" s="171"/>
      <c r="AH36" s="172"/>
      <c r="AI36" s="172"/>
      <c r="AJ36" s="172"/>
      <c r="AK36" s="172"/>
      <c r="AL36" s="173"/>
    </row>
    <row r="37" spans="1:38" x14ac:dyDescent="0.25">
      <c r="A37" s="245"/>
      <c r="B37" s="246"/>
      <c r="C37" s="246"/>
      <c r="D37" s="246"/>
      <c r="E37" s="246"/>
      <c r="F37" s="247"/>
      <c r="G37" s="171"/>
      <c r="H37" s="172"/>
      <c r="I37" s="172"/>
      <c r="J37" s="172"/>
      <c r="K37" s="172"/>
      <c r="L37" s="173"/>
      <c r="N37" s="245"/>
      <c r="O37" s="246"/>
      <c r="P37" s="246"/>
      <c r="Q37" s="246"/>
      <c r="R37" s="246"/>
      <c r="S37" s="247"/>
      <c r="T37" s="171"/>
      <c r="U37" s="172"/>
      <c r="V37" s="172"/>
      <c r="W37" s="172"/>
      <c r="X37" s="172"/>
      <c r="Y37" s="173"/>
      <c r="AA37" s="171"/>
      <c r="AB37" s="172"/>
      <c r="AC37" s="172"/>
      <c r="AD37" s="172"/>
      <c r="AE37" s="172"/>
      <c r="AF37" s="173"/>
      <c r="AG37" s="171"/>
      <c r="AH37" s="172"/>
      <c r="AI37" s="172"/>
      <c r="AJ37" s="172"/>
      <c r="AK37" s="172"/>
      <c r="AL37" s="173"/>
    </row>
    <row r="38" spans="1:38" x14ac:dyDescent="0.25">
      <c r="A38" s="245"/>
      <c r="B38" s="246"/>
      <c r="C38" s="246"/>
      <c r="D38" s="246"/>
      <c r="E38" s="246"/>
      <c r="F38" s="247"/>
      <c r="G38" s="171"/>
      <c r="H38" s="172"/>
      <c r="I38" s="172"/>
      <c r="J38" s="172"/>
      <c r="K38" s="172"/>
      <c r="L38" s="173"/>
      <c r="N38" s="245"/>
      <c r="O38" s="246"/>
      <c r="P38" s="246"/>
      <c r="Q38" s="246"/>
      <c r="R38" s="246"/>
      <c r="S38" s="247"/>
      <c r="T38" s="171"/>
      <c r="U38" s="172"/>
      <c r="V38" s="172"/>
      <c r="W38" s="172"/>
      <c r="X38" s="172"/>
      <c r="Y38" s="173"/>
      <c r="AA38" s="171"/>
      <c r="AB38" s="172"/>
      <c r="AC38" s="172"/>
      <c r="AD38" s="172"/>
      <c r="AE38" s="172"/>
      <c r="AF38" s="173"/>
      <c r="AG38" s="171"/>
      <c r="AH38" s="172"/>
      <c r="AI38" s="172"/>
      <c r="AJ38" s="172"/>
      <c r="AK38" s="172"/>
      <c r="AL38" s="173"/>
    </row>
    <row r="39" spans="1:38" x14ac:dyDescent="0.25">
      <c r="A39" s="245"/>
      <c r="B39" s="246"/>
      <c r="C39" s="246"/>
      <c r="D39" s="246"/>
      <c r="E39" s="246"/>
      <c r="F39" s="247"/>
      <c r="G39" s="171"/>
      <c r="H39" s="172"/>
      <c r="I39" s="172"/>
      <c r="J39" s="172"/>
      <c r="K39" s="172"/>
      <c r="L39" s="173"/>
      <c r="N39" s="245"/>
      <c r="O39" s="246"/>
      <c r="P39" s="246"/>
      <c r="Q39" s="246"/>
      <c r="R39" s="246"/>
      <c r="S39" s="247"/>
      <c r="T39" s="171"/>
      <c r="U39" s="172"/>
      <c r="V39" s="172"/>
      <c r="W39" s="172"/>
      <c r="X39" s="172"/>
      <c r="Y39" s="173"/>
      <c r="AA39" s="171"/>
      <c r="AB39" s="172"/>
      <c r="AC39" s="172"/>
      <c r="AD39" s="172"/>
      <c r="AE39" s="172"/>
      <c r="AF39" s="173"/>
      <c r="AG39" s="171"/>
      <c r="AH39" s="172"/>
      <c r="AI39" s="172"/>
      <c r="AJ39" s="172"/>
      <c r="AK39" s="172"/>
      <c r="AL39" s="173"/>
    </row>
    <row r="40" spans="1:38" ht="15.75" thickBot="1" x14ac:dyDescent="0.3">
      <c r="A40" s="248"/>
      <c r="B40" s="249"/>
      <c r="C40" s="249"/>
      <c r="D40" s="249"/>
      <c r="E40" s="249"/>
      <c r="F40" s="250"/>
      <c r="G40" s="174"/>
      <c r="H40" s="175"/>
      <c r="I40" s="175"/>
      <c r="J40" s="175"/>
      <c r="K40" s="175"/>
      <c r="L40" s="176"/>
      <c r="N40" s="248"/>
      <c r="O40" s="249"/>
      <c r="P40" s="249"/>
      <c r="Q40" s="249"/>
      <c r="R40" s="249"/>
      <c r="S40" s="250"/>
      <c r="T40" s="174"/>
      <c r="U40" s="175"/>
      <c r="V40" s="175"/>
      <c r="W40" s="175"/>
      <c r="X40" s="175"/>
      <c r="Y40" s="176"/>
      <c r="AA40" s="174"/>
      <c r="AB40" s="175"/>
      <c r="AC40" s="175"/>
      <c r="AD40" s="175"/>
      <c r="AE40" s="175"/>
      <c r="AF40" s="176"/>
      <c r="AG40" s="174"/>
      <c r="AH40" s="175"/>
      <c r="AI40" s="175"/>
      <c r="AJ40" s="175"/>
      <c r="AK40" s="175"/>
      <c r="AL40" s="176"/>
    </row>
    <row r="41" spans="1:38" x14ac:dyDescent="0.25">
      <c r="A41">
        <f>ROW(A42)-ROW(A1)</f>
        <v>41</v>
      </c>
    </row>
    <row r="42" spans="1:38" ht="17.25" x14ac:dyDescent="0.25">
      <c r="A42" s="127">
        <v>4</v>
      </c>
      <c r="B42" s="236" t="s">
        <v>8</v>
      </c>
      <c r="C42" s="236"/>
      <c r="D42" s="236"/>
      <c r="E42" s="236"/>
      <c r="F42" s="236"/>
      <c r="G42" s="236"/>
      <c r="H42" s="236"/>
      <c r="I42" s="236"/>
      <c r="J42" s="236"/>
      <c r="K42" s="236"/>
      <c r="L42" s="236"/>
      <c r="N42" s="127">
        <v>5</v>
      </c>
      <c r="O42" s="236" t="s">
        <v>9</v>
      </c>
      <c r="P42" s="236"/>
      <c r="Q42" s="236"/>
      <c r="R42" s="236"/>
      <c r="S42" s="236"/>
      <c r="T42" s="236"/>
      <c r="U42" s="236"/>
      <c r="V42" s="236"/>
      <c r="W42" s="236"/>
      <c r="X42" s="236"/>
      <c r="Y42" s="236"/>
      <c r="AA42" s="127">
        <v>6</v>
      </c>
      <c r="AB42" s="236" t="s">
        <v>963</v>
      </c>
      <c r="AC42" s="236"/>
      <c r="AD42" s="236"/>
      <c r="AE42" s="236"/>
      <c r="AF42" s="236"/>
      <c r="AG42" s="236"/>
      <c r="AH42" s="236"/>
      <c r="AI42" s="236"/>
      <c r="AJ42" s="236"/>
      <c r="AK42" s="236"/>
      <c r="AL42" s="236"/>
    </row>
    <row r="43" spans="1:38" ht="21" x14ac:dyDescent="0.25">
      <c r="A43" s="128">
        <v>2</v>
      </c>
      <c r="B43" s="236"/>
      <c r="C43" s="236"/>
      <c r="D43" s="236"/>
      <c r="E43" s="236"/>
      <c r="F43" s="236"/>
      <c r="G43" s="236"/>
      <c r="H43" s="236"/>
      <c r="I43" s="236"/>
      <c r="J43" s="236"/>
      <c r="K43" s="236"/>
      <c r="L43" s="236"/>
      <c r="N43" s="128">
        <v>2</v>
      </c>
      <c r="O43" s="236"/>
      <c r="P43" s="236"/>
      <c r="Q43" s="236"/>
      <c r="R43" s="236"/>
      <c r="S43" s="236"/>
      <c r="T43" s="236"/>
      <c r="U43" s="236"/>
      <c r="V43" s="236"/>
      <c r="W43" s="236"/>
      <c r="X43" s="236"/>
      <c r="Y43" s="236"/>
      <c r="AA43" s="128">
        <v>2</v>
      </c>
      <c r="AB43" s="236"/>
      <c r="AC43" s="236"/>
      <c r="AD43" s="236"/>
      <c r="AE43" s="236"/>
      <c r="AF43" s="236"/>
      <c r="AG43" s="236"/>
      <c r="AH43" s="236"/>
      <c r="AI43" s="236"/>
      <c r="AJ43" s="236"/>
      <c r="AK43" s="236"/>
      <c r="AL43" s="236"/>
    </row>
    <row r="44" spans="1:38" ht="16.5" x14ac:dyDescent="0.3">
      <c r="A44" s="237" t="s">
        <v>37</v>
      </c>
      <c r="B44" s="237"/>
      <c r="C44" s="237" t="s">
        <v>18</v>
      </c>
      <c r="D44" s="237"/>
      <c r="E44" s="237" t="s">
        <v>908</v>
      </c>
      <c r="F44" s="237"/>
      <c r="G44" s="238" t="s">
        <v>909</v>
      </c>
      <c r="H44" s="239">
        <v>13</v>
      </c>
      <c r="I44" s="229" t="s">
        <v>910</v>
      </c>
      <c r="J44" s="230"/>
      <c r="K44" s="230"/>
      <c r="L44" s="231"/>
      <c r="N44" s="237" t="s">
        <v>37</v>
      </c>
      <c r="O44" s="237"/>
      <c r="P44" s="237" t="s">
        <v>18</v>
      </c>
      <c r="Q44" s="237"/>
      <c r="R44" s="237" t="s">
        <v>964</v>
      </c>
      <c r="S44" s="237"/>
      <c r="T44" s="238" t="s">
        <v>909</v>
      </c>
      <c r="U44" s="239">
        <v>16</v>
      </c>
      <c r="V44" s="229" t="s">
        <v>965</v>
      </c>
      <c r="W44" s="230"/>
      <c r="X44" s="230"/>
      <c r="Y44" s="231"/>
      <c r="AA44" s="237" t="s">
        <v>37</v>
      </c>
      <c r="AB44" s="237"/>
      <c r="AC44" s="237" t="s">
        <v>18</v>
      </c>
      <c r="AD44" s="237"/>
      <c r="AE44" s="237" t="s">
        <v>964</v>
      </c>
      <c r="AF44" s="237"/>
      <c r="AG44" s="238" t="s">
        <v>909</v>
      </c>
      <c r="AH44" s="239">
        <v>18</v>
      </c>
      <c r="AI44" s="229" t="s">
        <v>966</v>
      </c>
      <c r="AJ44" s="230"/>
      <c r="AK44" s="230"/>
      <c r="AL44" s="231"/>
    </row>
    <row r="45" spans="1:38" x14ac:dyDescent="0.25">
      <c r="A45" s="228" t="s">
        <v>2</v>
      </c>
      <c r="B45" s="228"/>
      <c r="C45" s="228" t="s">
        <v>912</v>
      </c>
      <c r="D45" s="228"/>
      <c r="E45" s="228" t="s">
        <v>913</v>
      </c>
      <c r="F45" s="228"/>
      <c r="G45" s="238"/>
      <c r="H45" s="239"/>
      <c r="I45" s="229"/>
      <c r="J45" s="230"/>
      <c r="K45" s="230"/>
      <c r="L45" s="231"/>
      <c r="N45" s="228" t="s">
        <v>2</v>
      </c>
      <c r="O45" s="228"/>
      <c r="P45" s="228" t="s">
        <v>912</v>
      </c>
      <c r="Q45" s="228"/>
      <c r="R45" s="228" t="s">
        <v>913</v>
      </c>
      <c r="S45" s="228"/>
      <c r="T45" s="238"/>
      <c r="U45" s="239"/>
      <c r="V45" s="229" t="s">
        <v>967</v>
      </c>
      <c r="W45" s="230"/>
      <c r="X45" s="230"/>
      <c r="Y45" s="231"/>
      <c r="AA45" s="228" t="s">
        <v>2</v>
      </c>
      <c r="AB45" s="228"/>
      <c r="AC45" s="228" t="s">
        <v>912</v>
      </c>
      <c r="AD45" s="228"/>
      <c r="AE45" s="228" t="s">
        <v>913</v>
      </c>
      <c r="AF45" s="228"/>
      <c r="AG45" s="238"/>
      <c r="AH45" s="239"/>
      <c r="AI45" s="229"/>
      <c r="AJ45" s="230"/>
      <c r="AK45" s="230"/>
      <c r="AL45" s="231"/>
    </row>
    <row r="46" spans="1:38" ht="15" customHeight="1" x14ac:dyDescent="0.25">
      <c r="A46" s="232">
        <f>C50</f>
        <v>1</v>
      </c>
      <c r="B46" s="232"/>
      <c r="C46" s="233">
        <v>30</v>
      </c>
      <c r="D46" s="233"/>
      <c r="E46" s="233"/>
      <c r="F46" s="233"/>
      <c r="G46" s="235">
        <v>2</v>
      </c>
      <c r="H46" s="235" t="str">
        <f>IF(C44="Tiny","d4",IF(C44="Small","d6",IF(C44="Medium","d8",IF(C44="Large","d10",IF(C44="Huge","d12",IF(C44="Gargantuan","d20",""))))))</f>
        <v>d8</v>
      </c>
      <c r="I46" s="223">
        <f>IFERROR(G46*E50,0)</f>
        <v>0</v>
      </c>
      <c r="J46" s="224">
        <f>ROUNDDOWN((0.5*(1+VALUE(RIGHT(H46,LEN(H46)-1)))+IF(E50="",0,E50))*G46,0)</f>
        <v>9</v>
      </c>
      <c r="K46" s="224"/>
      <c r="L46" s="225">
        <v>0.125</v>
      </c>
      <c r="N46" s="232">
        <f>P50</f>
        <v>1</v>
      </c>
      <c r="O46" s="232"/>
      <c r="P46" s="233">
        <v>30</v>
      </c>
      <c r="Q46" s="233"/>
      <c r="R46" s="233"/>
      <c r="S46" s="233"/>
      <c r="T46" s="235">
        <v>2</v>
      </c>
      <c r="U46" s="235" t="str">
        <f>IF(P44="Tiny","d4",IF(P44="Small","d6",IF(P44="Medium","d8",IF(P44="Large","d10",IF(P44="Huge","d12",IF(P44="Gargantuan","d20",""))))))</f>
        <v>d8</v>
      </c>
      <c r="V46" s="223">
        <f>IFERROR(T46*R50,0)</f>
        <v>2</v>
      </c>
      <c r="W46" s="224">
        <f>ROUNDDOWN((0.5*(1+VALUE(RIGHT(U46,LEN(U46)-1)))+IF(R50="",0,R50))*T46,0)</f>
        <v>11</v>
      </c>
      <c r="X46" s="224"/>
      <c r="Y46" s="225">
        <v>0.125</v>
      </c>
      <c r="AA46" s="232">
        <f>AC50</f>
        <v>0</v>
      </c>
      <c r="AB46" s="232"/>
      <c r="AC46" s="233">
        <v>30</v>
      </c>
      <c r="AD46" s="233"/>
      <c r="AE46" s="233"/>
      <c r="AF46" s="233"/>
      <c r="AG46" s="235">
        <v>8</v>
      </c>
      <c r="AH46" s="235" t="str">
        <f>IF(AC44="Tiny","d4",IF(AC44="Small","d6",IF(AC44="Medium","d8",IF(AC44="Large","d10",IF(AC44="Huge","d12",IF(AC44="Gargantuan","d20",""))))))</f>
        <v>d8</v>
      </c>
      <c r="AI46" s="223">
        <f>IFERROR(AG46*AE50,0)</f>
        <v>16</v>
      </c>
      <c r="AJ46" s="224">
        <f>ROUNDDOWN((0.5*(1+VALUE(RIGHT(AH46,LEN(AH46)-1)))+IF(AE50="",0,AE50))*AG46,0)</f>
        <v>52</v>
      </c>
      <c r="AK46" s="224"/>
      <c r="AL46" s="225">
        <v>3</v>
      </c>
    </row>
    <row r="47" spans="1:38" ht="15" customHeight="1" x14ac:dyDescent="0.25">
      <c r="A47" s="232"/>
      <c r="B47" s="232"/>
      <c r="C47" s="234"/>
      <c r="D47" s="234"/>
      <c r="E47" s="234"/>
      <c r="F47" s="234"/>
      <c r="G47" s="235"/>
      <c r="H47" s="235"/>
      <c r="I47" s="223"/>
      <c r="J47" s="224"/>
      <c r="K47" s="224"/>
      <c r="L47" s="225"/>
      <c r="N47" s="232"/>
      <c r="O47" s="232"/>
      <c r="P47" s="234"/>
      <c r="Q47" s="234"/>
      <c r="R47" s="234"/>
      <c r="S47" s="234"/>
      <c r="T47" s="235"/>
      <c r="U47" s="235"/>
      <c r="V47" s="223"/>
      <c r="W47" s="224"/>
      <c r="X47" s="224"/>
      <c r="Y47" s="225"/>
      <c r="AA47" s="232"/>
      <c r="AB47" s="232"/>
      <c r="AC47" s="234"/>
      <c r="AD47" s="234"/>
      <c r="AE47" s="234"/>
      <c r="AF47" s="234"/>
      <c r="AG47" s="235"/>
      <c r="AH47" s="235"/>
      <c r="AI47" s="223"/>
      <c r="AJ47" s="224"/>
      <c r="AK47" s="224"/>
      <c r="AL47" s="225"/>
    </row>
    <row r="48" spans="1:38" ht="15.75" thickBot="1" x14ac:dyDescent="0.3">
      <c r="A48" s="226" t="str">
        <f>"Base Init:"&amp;C50</f>
        <v>Base Init:1</v>
      </c>
      <c r="B48" s="226"/>
      <c r="C48" s="129" t="s">
        <v>914</v>
      </c>
      <c r="D48" s="129" t="s">
        <v>915</v>
      </c>
      <c r="E48" s="129" t="s">
        <v>915</v>
      </c>
      <c r="F48" s="129" t="s">
        <v>915</v>
      </c>
      <c r="G48" s="226" t="s">
        <v>916</v>
      </c>
      <c r="H48" s="226"/>
      <c r="I48" s="226"/>
      <c r="J48" s="226"/>
      <c r="K48" s="226"/>
      <c r="L48" s="129" t="s">
        <v>11</v>
      </c>
      <c r="N48" s="226" t="str">
        <f>"Base Init:"&amp;P50</f>
        <v>Base Init:1</v>
      </c>
      <c r="O48" s="226"/>
      <c r="P48" s="129" t="s">
        <v>914</v>
      </c>
      <c r="Q48" s="129" t="s">
        <v>915</v>
      </c>
      <c r="R48" s="129" t="s">
        <v>915</v>
      </c>
      <c r="S48" s="129" t="s">
        <v>915</v>
      </c>
      <c r="T48" s="226" t="s">
        <v>916</v>
      </c>
      <c r="U48" s="226"/>
      <c r="V48" s="226"/>
      <c r="W48" s="226"/>
      <c r="X48" s="226"/>
      <c r="Y48" s="129" t="s">
        <v>11</v>
      </c>
      <c r="AA48" s="226" t="str">
        <f>"Base Init:"&amp;AC50</f>
        <v>Base Init:0</v>
      </c>
      <c r="AB48" s="226"/>
      <c r="AC48" s="129" t="s">
        <v>914</v>
      </c>
      <c r="AD48" s="129" t="s">
        <v>915</v>
      </c>
      <c r="AE48" s="129" t="s">
        <v>915</v>
      </c>
      <c r="AF48" s="129" t="s">
        <v>915</v>
      </c>
      <c r="AG48" s="226" t="s">
        <v>916</v>
      </c>
      <c r="AH48" s="226"/>
      <c r="AI48" s="226"/>
      <c r="AJ48" s="226"/>
      <c r="AK48" s="226"/>
      <c r="AL48" s="129" t="s">
        <v>11</v>
      </c>
    </row>
    <row r="49" spans="1:38" ht="17.25" x14ac:dyDescent="0.25">
      <c r="A49" s="227">
        <v>11</v>
      </c>
      <c r="B49" s="219"/>
      <c r="C49" s="218">
        <v>12</v>
      </c>
      <c r="D49" s="219"/>
      <c r="E49" s="218">
        <v>10</v>
      </c>
      <c r="F49" s="219"/>
      <c r="G49" s="218">
        <v>10</v>
      </c>
      <c r="H49" s="219"/>
      <c r="I49" s="218">
        <v>11</v>
      </c>
      <c r="J49" s="219"/>
      <c r="K49" s="218">
        <v>10</v>
      </c>
      <c r="L49" s="219"/>
      <c r="N49" s="227">
        <v>13</v>
      </c>
      <c r="O49" s="219"/>
      <c r="P49" s="218">
        <v>12</v>
      </c>
      <c r="Q49" s="219"/>
      <c r="R49" s="218">
        <v>12</v>
      </c>
      <c r="S49" s="219"/>
      <c r="T49" s="218">
        <v>10</v>
      </c>
      <c r="U49" s="219"/>
      <c r="V49" s="218">
        <v>11</v>
      </c>
      <c r="W49" s="219"/>
      <c r="X49" s="218">
        <v>10</v>
      </c>
      <c r="Y49" s="219"/>
      <c r="AA49" s="227">
        <v>16</v>
      </c>
      <c r="AB49" s="219"/>
      <c r="AC49" s="218">
        <v>11</v>
      </c>
      <c r="AD49" s="219"/>
      <c r="AE49" s="218">
        <v>14</v>
      </c>
      <c r="AF49" s="219"/>
      <c r="AG49" s="218">
        <v>11</v>
      </c>
      <c r="AH49" s="219"/>
      <c r="AI49" s="218">
        <v>11</v>
      </c>
      <c r="AJ49" s="219"/>
      <c r="AK49" s="218">
        <v>15</v>
      </c>
      <c r="AL49" s="219"/>
    </row>
    <row r="50" spans="1:38" x14ac:dyDescent="0.25">
      <c r="A50" s="220">
        <f>IF(A49=0,"",IF(A49&gt;10,ROUNDDOWN((A49-10)/2,0),ROUNDUP((A49-10)/2,0)))</f>
        <v>0</v>
      </c>
      <c r="B50" s="221"/>
      <c r="C50" s="222">
        <f>IF(C49=0,"",IF(C49&gt;10,ROUNDDOWN((C49-10)/2,0),ROUNDUP((C49-10)/2,0)))</f>
        <v>1</v>
      </c>
      <c r="D50" s="221"/>
      <c r="E50" s="222">
        <f>IF(E49=0,"",IF(E49&gt;10,ROUNDDOWN((E49-10)/2,0),ROUNDUP((E49-10)/2,0)))</f>
        <v>0</v>
      </c>
      <c r="F50" s="221"/>
      <c r="G50" s="222">
        <f>IF(G49=0,"",IF(G49&gt;10,ROUNDDOWN((G49-10)/2,0),ROUNDUP((G49-10)/2,0)))</f>
        <v>0</v>
      </c>
      <c r="H50" s="221"/>
      <c r="I50" s="222">
        <f>IF(I49=0,"",IF(I49&gt;10,ROUNDDOWN((I49-10)/2,0),ROUNDUP((I49-10)/2,0)))</f>
        <v>0</v>
      </c>
      <c r="J50" s="221"/>
      <c r="K50" s="222">
        <f>IF(K49=0,"",IF(K49&gt;10,ROUNDDOWN((K49-10)/2,0),ROUNDUP((K49-10)/2,0)))</f>
        <v>0</v>
      </c>
      <c r="L50" s="221"/>
      <c r="N50" s="220">
        <f>IF(N49=0,"",IF(N49&gt;10,ROUNDDOWN((N49-10)/2,0),ROUNDUP((N49-10)/2,0)))</f>
        <v>1</v>
      </c>
      <c r="O50" s="221"/>
      <c r="P50" s="222">
        <f>IF(P49=0,"",IF(P49&gt;10,ROUNDDOWN((P49-10)/2,0),ROUNDUP((P49-10)/2,0)))</f>
        <v>1</v>
      </c>
      <c r="Q50" s="221"/>
      <c r="R50" s="222">
        <f>IF(R49=0,"",IF(R49&gt;10,ROUNDDOWN((R49-10)/2,0),ROUNDUP((R49-10)/2,0)))</f>
        <v>1</v>
      </c>
      <c r="S50" s="221"/>
      <c r="T50" s="222">
        <f>IF(T49=0,"",IF(T49&gt;10,ROUNDDOWN((T49-10)/2,0),ROUNDUP((T49-10)/2,0)))</f>
        <v>0</v>
      </c>
      <c r="U50" s="221"/>
      <c r="V50" s="222">
        <f>IF(V49=0,"",IF(V49&gt;10,ROUNDDOWN((V49-10)/2,0),ROUNDUP((V49-10)/2,0)))</f>
        <v>0</v>
      </c>
      <c r="W50" s="221"/>
      <c r="X50" s="222">
        <f>IF(X49=0,"",IF(X49&gt;10,ROUNDDOWN((X49-10)/2,0),ROUNDUP((X49-10)/2,0)))</f>
        <v>0</v>
      </c>
      <c r="Y50" s="221"/>
      <c r="AA50" s="220">
        <f>IF(AA49=0,"",IF(AA49&gt;10,ROUNDDOWN((AA49-10)/2,0),ROUNDUP((AA49-10)/2,0)))</f>
        <v>3</v>
      </c>
      <c r="AB50" s="221"/>
      <c r="AC50" s="222">
        <f>IF(AC49=0,"",IF(AC49&gt;10,ROUNDDOWN((AC49-10)/2,0),ROUNDUP((AC49-10)/2,0)))</f>
        <v>0</v>
      </c>
      <c r="AD50" s="221"/>
      <c r="AE50" s="222">
        <f>IF(AE49=0,"",IF(AE49&gt;10,ROUNDDOWN((AE49-10)/2,0),ROUNDUP((AE49-10)/2,0)))</f>
        <v>2</v>
      </c>
      <c r="AF50" s="221"/>
      <c r="AG50" s="222">
        <f>IF(AG49=0,"",IF(AG49&gt;10,ROUNDDOWN((AG49-10)/2,0),ROUNDUP((AG49-10)/2,0)))</f>
        <v>0</v>
      </c>
      <c r="AH50" s="221"/>
      <c r="AI50" s="222">
        <f>IF(AI49=0,"",IF(AI49&gt;10,ROUNDDOWN((AI49-10)/2,0),ROUNDUP((AI49-10)/2,0)))</f>
        <v>0</v>
      </c>
      <c r="AJ50" s="221"/>
      <c r="AK50" s="222">
        <f>IF(AK49=0,"",IF(AK49&gt;10,ROUNDDOWN((AK49-10)/2,0),ROUNDUP((AK49-10)/2,0)))</f>
        <v>2</v>
      </c>
      <c r="AL50" s="221"/>
    </row>
    <row r="51" spans="1:38" x14ac:dyDescent="0.25">
      <c r="A51" s="220"/>
      <c r="B51" s="221"/>
      <c r="C51" s="222"/>
      <c r="D51" s="221"/>
      <c r="E51" s="222"/>
      <c r="F51" s="221"/>
      <c r="G51" s="222"/>
      <c r="H51" s="221"/>
      <c r="I51" s="222"/>
      <c r="J51" s="221"/>
      <c r="K51" s="222"/>
      <c r="L51" s="221"/>
      <c r="N51" s="220"/>
      <c r="O51" s="221"/>
      <c r="P51" s="222"/>
      <c r="Q51" s="221"/>
      <c r="R51" s="222"/>
      <c r="S51" s="221"/>
      <c r="T51" s="222"/>
      <c r="U51" s="221"/>
      <c r="V51" s="222"/>
      <c r="W51" s="221"/>
      <c r="X51" s="222"/>
      <c r="Y51" s="221"/>
      <c r="AA51" s="220"/>
      <c r="AB51" s="221"/>
      <c r="AC51" s="222"/>
      <c r="AD51" s="221"/>
      <c r="AE51" s="222"/>
      <c r="AF51" s="221"/>
      <c r="AG51" s="222"/>
      <c r="AH51" s="221"/>
      <c r="AI51" s="222"/>
      <c r="AJ51" s="221"/>
      <c r="AK51" s="222"/>
      <c r="AL51" s="221"/>
    </row>
    <row r="52" spans="1:38" ht="15.75" thickBot="1" x14ac:dyDescent="0.3">
      <c r="A52" s="215" t="s">
        <v>917</v>
      </c>
      <c r="B52" s="216"/>
      <c r="C52" s="217" t="s">
        <v>918</v>
      </c>
      <c r="D52" s="216"/>
      <c r="E52" s="217" t="s">
        <v>919</v>
      </c>
      <c r="F52" s="216"/>
      <c r="G52" s="217" t="s">
        <v>920</v>
      </c>
      <c r="H52" s="216"/>
      <c r="I52" s="217" t="s">
        <v>921</v>
      </c>
      <c r="J52" s="216"/>
      <c r="K52" s="217" t="s">
        <v>922</v>
      </c>
      <c r="L52" s="216"/>
      <c r="N52" s="215" t="s">
        <v>917</v>
      </c>
      <c r="O52" s="216"/>
      <c r="P52" s="217" t="s">
        <v>918</v>
      </c>
      <c r="Q52" s="216"/>
      <c r="R52" s="217" t="s">
        <v>919</v>
      </c>
      <c r="S52" s="216"/>
      <c r="T52" s="217" t="s">
        <v>920</v>
      </c>
      <c r="U52" s="216"/>
      <c r="V52" s="217" t="s">
        <v>921</v>
      </c>
      <c r="W52" s="216"/>
      <c r="X52" s="217" t="s">
        <v>922</v>
      </c>
      <c r="Y52" s="216"/>
      <c r="AA52" s="215" t="s">
        <v>917</v>
      </c>
      <c r="AB52" s="216"/>
      <c r="AC52" s="217" t="s">
        <v>918</v>
      </c>
      <c r="AD52" s="216"/>
      <c r="AE52" s="217" t="s">
        <v>919</v>
      </c>
      <c r="AF52" s="216"/>
      <c r="AG52" s="217" t="s">
        <v>920</v>
      </c>
      <c r="AH52" s="216"/>
      <c r="AI52" s="217" t="s">
        <v>921</v>
      </c>
      <c r="AJ52" s="216"/>
      <c r="AK52" s="217" t="s">
        <v>922</v>
      </c>
      <c r="AL52" s="216"/>
    </row>
    <row r="53" spans="1:38" ht="15.75" thickBot="1" x14ac:dyDescent="0.3">
      <c r="A53" s="180" t="s">
        <v>923</v>
      </c>
      <c r="B53" s="181"/>
      <c r="C53" s="181"/>
      <c r="D53" s="181"/>
      <c r="E53" s="181"/>
      <c r="F53" s="182"/>
      <c r="G53" s="180" t="s">
        <v>924</v>
      </c>
      <c r="H53" s="181"/>
      <c r="I53" s="181"/>
      <c r="J53" s="181"/>
      <c r="K53" s="181"/>
      <c r="L53" s="182"/>
      <c r="N53" s="180" t="s">
        <v>923</v>
      </c>
      <c r="O53" s="181"/>
      <c r="P53" s="181"/>
      <c r="Q53" s="181"/>
      <c r="R53" s="181"/>
      <c r="S53" s="182"/>
      <c r="T53" s="180" t="s">
        <v>924</v>
      </c>
      <c r="U53" s="181"/>
      <c r="V53" s="181"/>
      <c r="W53" s="181"/>
      <c r="X53" s="181"/>
      <c r="Y53" s="182"/>
      <c r="AA53" s="180" t="s">
        <v>923</v>
      </c>
      <c r="AB53" s="181"/>
      <c r="AC53" s="181"/>
      <c r="AD53" s="181"/>
      <c r="AE53" s="181"/>
      <c r="AF53" s="182"/>
      <c r="AG53" s="180" t="s">
        <v>924</v>
      </c>
      <c r="AH53" s="181"/>
      <c r="AI53" s="181"/>
      <c r="AJ53" s="181"/>
      <c r="AK53" s="181"/>
      <c r="AL53" s="182"/>
    </row>
    <row r="54" spans="1:38" ht="16.5" x14ac:dyDescent="0.3">
      <c r="A54" s="131" t="s">
        <v>917</v>
      </c>
      <c r="B54" s="132">
        <f>IFERROR(IF(C54="prof",A50+A43,A50),"")</f>
        <v>0</v>
      </c>
      <c r="C54" s="133" t="s">
        <v>925</v>
      </c>
      <c r="D54" s="134" t="s">
        <v>920</v>
      </c>
      <c r="E54" s="135">
        <f>IFERROR(IF(F54="prof",G50+A43,G50),"")</f>
        <v>0</v>
      </c>
      <c r="F54" s="136" t="s">
        <v>925</v>
      </c>
      <c r="G54" s="207" t="s">
        <v>926</v>
      </c>
      <c r="H54" s="208"/>
      <c r="I54" s="208"/>
      <c r="J54" s="211">
        <f>IFERROR(IF(L54="prof",I50+A43+10,I50+10),"")</f>
        <v>10</v>
      </c>
      <c r="K54" s="211"/>
      <c r="L54" s="213" t="s">
        <v>925</v>
      </c>
      <c r="N54" s="131" t="s">
        <v>917</v>
      </c>
      <c r="O54" s="132">
        <f>IFERROR(IF(P54="prof",N50+N43,N50),"")</f>
        <v>1</v>
      </c>
      <c r="P54" s="133" t="s">
        <v>925</v>
      </c>
      <c r="Q54" s="134" t="s">
        <v>920</v>
      </c>
      <c r="R54" s="135">
        <f>IFERROR(IF(S54="prof",T50+N43,T50),"")</f>
        <v>0</v>
      </c>
      <c r="S54" s="136" t="s">
        <v>925</v>
      </c>
      <c r="T54" s="207" t="s">
        <v>926</v>
      </c>
      <c r="U54" s="208"/>
      <c r="V54" s="208"/>
      <c r="W54" s="211">
        <f>IFERROR(IF(Y54="prof",V50+N43+10,V50+10),"")</f>
        <v>12</v>
      </c>
      <c r="X54" s="211"/>
      <c r="Y54" s="213" t="s">
        <v>932</v>
      </c>
      <c r="AA54" s="131" t="s">
        <v>917</v>
      </c>
      <c r="AB54" s="132">
        <f>IFERROR(IF(AC54="prof",AA50+AA43,AA50),"")</f>
        <v>3</v>
      </c>
      <c r="AC54" s="133" t="s">
        <v>925</v>
      </c>
      <c r="AD54" s="134" t="s">
        <v>920</v>
      </c>
      <c r="AE54" s="135">
        <f>IFERROR(IF(AF54="prof",AG50+AA43,AG50),"")</f>
        <v>0</v>
      </c>
      <c r="AF54" s="136" t="s">
        <v>925</v>
      </c>
      <c r="AG54" s="207" t="s">
        <v>926</v>
      </c>
      <c r="AH54" s="208"/>
      <c r="AI54" s="208"/>
      <c r="AJ54" s="211">
        <f>IFERROR(IF(AL54="prof",AI50+AA43+10,AI50+10),"")</f>
        <v>10</v>
      </c>
      <c r="AK54" s="211"/>
      <c r="AL54" s="213" t="s">
        <v>925</v>
      </c>
    </row>
    <row r="55" spans="1:38" ht="16.5" x14ac:dyDescent="0.3">
      <c r="A55" s="134" t="s">
        <v>918</v>
      </c>
      <c r="B55" s="135">
        <f>IFERROR(IF(C55="prof",C50+A43,C50),"")</f>
        <v>1</v>
      </c>
      <c r="C55" s="137" t="s">
        <v>925</v>
      </c>
      <c r="D55" s="134" t="s">
        <v>921</v>
      </c>
      <c r="E55" s="135">
        <f>IFERROR(IF(F55="prof",I50+A43,I50),"")</f>
        <v>0</v>
      </c>
      <c r="F55" s="136" t="s">
        <v>925</v>
      </c>
      <c r="G55" s="209"/>
      <c r="H55" s="210"/>
      <c r="I55" s="210"/>
      <c r="J55" s="212"/>
      <c r="K55" s="212"/>
      <c r="L55" s="214"/>
      <c r="N55" s="134" t="s">
        <v>918</v>
      </c>
      <c r="O55" s="135">
        <f>IFERROR(IF(P55="prof",P50+N43,P50),"")</f>
        <v>1</v>
      </c>
      <c r="P55" s="137" t="s">
        <v>925</v>
      </c>
      <c r="Q55" s="134" t="s">
        <v>921</v>
      </c>
      <c r="R55" s="135">
        <f>IFERROR(IF(S55="prof",V50+N43,V50),"")</f>
        <v>0</v>
      </c>
      <c r="S55" s="136" t="s">
        <v>925</v>
      </c>
      <c r="T55" s="209"/>
      <c r="U55" s="210"/>
      <c r="V55" s="210"/>
      <c r="W55" s="212"/>
      <c r="X55" s="212"/>
      <c r="Y55" s="214"/>
      <c r="AA55" s="134" t="s">
        <v>918</v>
      </c>
      <c r="AB55" s="135">
        <f>IFERROR(IF(AC55="prof",AC50+AA43,AC50),"")</f>
        <v>0</v>
      </c>
      <c r="AC55" s="137" t="s">
        <v>925</v>
      </c>
      <c r="AD55" s="134" t="s">
        <v>921</v>
      </c>
      <c r="AE55" s="135">
        <f>IFERROR(IF(AF55="prof",AI50+AA43,AI50),"")</f>
        <v>2</v>
      </c>
      <c r="AF55" s="136" t="s">
        <v>932</v>
      </c>
      <c r="AG55" s="209"/>
      <c r="AH55" s="210"/>
      <c r="AI55" s="210"/>
      <c r="AJ55" s="212"/>
      <c r="AK55" s="212"/>
      <c r="AL55" s="214"/>
    </row>
    <row r="56" spans="1:38" ht="17.25" thickBot="1" x14ac:dyDescent="0.35">
      <c r="A56" s="134" t="s">
        <v>919</v>
      </c>
      <c r="B56" s="135">
        <f>IFERROR(IF(C56="prof",E50+A43,E50),"")</f>
        <v>0</v>
      </c>
      <c r="C56" s="137" t="s">
        <v>925</v>
      </c>
      <c r="D56" s="134" t="s">
        <v>927</v>
      </c>
      <c r="E56" s="135">
        <f>IFERROR(IF(F56="prof",K50+A43,K50),"")</f>
        <v>0</v>
      </c>
      <c r="F56" s="136" t="s">
        <v>925</v>
      </c>
      <c r="G56" s="199" t="s">
        <v>915</v>
      </c>
      <c r="H56" s="186"/>
      <c r="I56" s="138">
        <v>0</v>
      </c>
      <c r="J56" s="199" t="s">
        <v>915</v>
      </c>
      <c r="K56" s="186"/>
      <c r="L56" s="139">
        <v>0</v>
      </c>
      <c r="N56" s="134" t="s">
        <v>919</v>
      </c>
      <c r="O56" s="135">
        <f>IFERROR(IF(P56="prof",R50+N43,R50),"")</f>
        <v>1</v>
      </c>
      <c r="P56" s="137" t="s">
        <v>925</v>
      </c>
      <c r="Q56" s="134" t="s">
        <v>927</v>
      </c>
      <c r="R56" s="135">
        <f>IFERROR(IF(S56="prof",X50+N43,X50),"")</f>
        <v>0</v>
      </c>
      <c r="S56" s="136" t="s">
        <v>925</v>
      </c>
      <c r="T56" s="199" t="s">
        <v>915</v>
      </c>
      <c r="U56" s="186"/>
      <c r="V56" s="138">
        <v>0</v>
      </c>
      <c r="W56" s="199" t="s">
        <v>915</v>
      </c>
      <c r="X56" s="186"/>
      <c r="Y56" s="139">
        <v>0</v>
      </c>
      <c r="AA56" s="134" t="s">
        <v>919</v>
      </c>
      <c r="AB56" s="135">
        <f>IFERROR(IF(AC56="prof",AE50+AA43,AE50),"")</f>
        <v>4</v>
      </c>
      <c r="AC56" s="137" t="s">
        <v>932</v>
      </c>
      <c r="AD56" s="134" t="s">
        <v>927</v>
      </c>
      <c r="AE56" s="135">
        <f>IFERROR(IF(AF56="prof",AK50+AA43,AK50),"")</f>
        <v>2</v>
      </c>
      <c r="AF56" s="136" t="s">
        <v>925</v>
      </c>
      <c r="AG56" s="199" t="s">
        <v>915</v>
      </c>
      <c r="AH56" s="186"/>
      <c r="AI56" s="138">
        <v>0</v>
      </c>
      <c r="AJ56" s="199" t="s">
        <v>915</v>
      </c>
      <c r="AK56" s="186"/>
      <c r="AL56" s="139">
        <v>0</v>
      </c>
    </row>
    <row r="57" spans="1:38" ht="15.75" thickBot="1" x14ac:dyDescent="0.3">
      <c r="A57" s="180" t="s">
        <v>928</v>
      </c>
      <c r="B57" s="181"/>
      <c r="C57" s="181"/>
      <c r="D57" s="181"/>
      <c r="E57" s="181"/>
      <c r="F57" s="182"/>
      <c r="G57" s="180" t="s">
        <v>929</v>
      </c>
      <c r="H57" s="181"/>
      <c r="I57" s="181"/>
      <c r="J57" s="181"/>
      <c r="K57" s="181"/>
      <c r="L57" s="182"/>
      <c r="N57" s="180" t="s">
        <v>928</v>
      </c>
      <c r="O57" s="181"/>
      <c r="P57" s="181"/>
      <c r="Q57" s="181"/>
      <c r="R57" s="181"/>
      <c r="S57" s="182"/>
      <c r="T57" s="180" t="s">
        <v>929</v>
      </c>
      <c r="U57" s="181"/>
      <c r="V57" s="181"/>
      <c r="W57" s="181"/>
      <c r="X57" s="181"/>
      <c r="Y57" s="182"/>
      <c r="AA57" s="180" t="s">
        <v>928</v>
      </c>
      <c r="AB57" s="181"/>
      <c r="AC57" s="181"/>
      <c r="AD57" s="181"/>
      <c r="AE57" s="181"/>
      <c r="AF57" s="182"/>
      <c r="AG57" s="180" t="s">
        <v>929</v>
      </c>
      <c r="AH57" s="181"/>
      <c r="AI57" s="181"/>
      <c r="AJ57" s="181"/>
      <c r="AK57" s="181"/>
      <c r="AL57" s="182"/>
    </row>
    <row r="58" spans="1:38" ht="16.5" x14ac:dyDescent="0.3">
      <c r="A58" s="240" t="s">
        <v>968</v>
      </c>
      <c r="B58" s="241"/>
      <c r="C58" s="185"/>
      <c r="D58" s="140" t="s">
        <v>927</v>
      </c>
      <c r="E58" s="140">
        <f>IF(F58="expert",2,IF(F58="prof",1,0))*A43+VALUE(IF(D58="Str",A50,IF(D58="Dex",C50,IF(D58="Con",E50,IF(D58="Int",G50,IF(D58="Wis",I50,IF(D58="Cha",K50,"")))))))</f>
        <v>2</v>
      </c>
      <c r="F58" s="141" t="s">
        <v>932</v>
      </c>
      <c r="G58" s="205"/>
      <c r="H58" s="206"/>
      <c r="I58" s="142"/>
      <c r="J58" s="206"/>
      <c r="K58" s="206"/>
      <c r="L58" s="143"/>
      <c r="N58" s="240" t="s">
        <v>969</v>
      </c>
      <c r="O58" s="241"/>
      <c r="P58" s="185"/>
      <c r="Q58" s="140" t="s">
        <v>938</v>
      </c>
      <c r="R58" s="140">
        <f>IF(S58="expert",2,IF(S58="prof",1,0))*N43+VALUE(IF(Q58="Str",N50,IF(Q58="Dex",P50,IF(Q58="Con",R50,IF(Q58="Int",T50,IF(Q58="Wis",V50,IF(Q58="Cha",X50,"")))))))</f>
        <v>2</v>
      </c>
      <c r="S58" s="141" t="s">
        <v>932</v>
      </c>
      <c r="T58" s="205"/>
      <c r="U58" s="206"/>
      <c r="V58" s="142"/>
      <c r="W58" s="206"/>
      <c r="X58" s="206"/>
      <c r="Y58" s="143"/>
      <c r="AA58" s="240" t="s">
        <v>915</v>
      </c>
      <c r="AB58" s="241"/>
      <c r="AC58" s="185"/>
      <c r="AD58" s="140" t="s">
        <v>938</v>
      </c>
      <c r="AE58" s="140">
        <f>IF(AF58="expert",2,IF(AF58="prof",1,0))*AA43+VALUE(IF(AD58="Str",AA50,IF(AD58="Dex",AC50,IF(AD58="Con",AE50,IF(AD58="Int",AG50,IF(AD58="Wis",AI50,IF(AD58="Cha",AK50,"")))))))</f>
        <v>0</v>
      </c>
      <c r="AF58" s="141" t="s">
        <v>915</v>
      </c>
      <c r="AG58" s="205"/>
      <c r="AH58" s="206"/>
      <c r="AI58" s="142"/>
      <c r="AJ58" s="206"/>
      <c r="AK58" s="206"/>
      <c r="AL58" s="143"/>
    </row>
    <row r="59" spans="1:38" ht="16.5" x14ac:dyDescent="0.3">
      <c r="A59" s="240" t="s">
        <v>933</v>
      </c>
      <c r="B59" s="241"/>
      <c r="C59" s="185"/>
      <c r="D59" s="140" t="s">
        <v>937</v>
      </c>
      <c r="E59" s="140">
        <f>IF(F59="expert",2,IF(F59="prof",1,0))*A43+VALUE(IF(D59="Str",A50,IF(D59="Dex",C50,IF(D59="Con",E50,IF(D59="Int",G50,IF(D59="Wis",I50,IF(D59="Cha",K50,"")))))))</f>
        <v>2</v>
      </c>
      <c r="F59" s="141" t="s">
        <v>932</v>
      </c>
      <c r="G59" s="199"/>
      <c r="H59" s="186"/>
      <c r="I59" s="137"/>
      <c r="J59" s="186"/>
      <c r="K59" s="186"/>
      <c r="L59" s="141"/>
      <c r="N59" s="240" t="s">
        <v>915</v>
      </c>
      <c r="O59" s="241"/>
      <c r="P59" s="185"/>
      <c r="Q59" s="140" t="s">
        <v>937</v>
      </c>
      <c r="R59" s="140">
        <f>IF(S59="expert",2,IF(S59="prof",1,0))*N43+VALUE(IF(Q59="Str",N50,IF(Q59="Dex",P50,IF(Q59="Con",R50,IF(Q59="Int",T50,IF(Q59="Wis",V50,IF(Q59="Cha",X50,"")))))))</f>
        <v>2</v>
      </c>
      <c r="S59" s="141" t="s">
        <v>932</v>
      </c>
      <c r="T59" s="199"/>
      <c r="U59" s="186"/>
      <c r="V59" s="137"/>
      <c r="W59" s="186"/>
      <c r="X59" s="186"/>
      <c r="Y59" s="141"/>
      <c r="AA59" s="240" t="s">
        <v>915</v>
      </c>
      <c r="AB59" s="241"/>
      <c r="AC59" s="185"/>
      <c r="AD59" s="140" t="s">
        <v>937</v>
      </c>
      <c r="AE59" s="140">
        <f>IF(AF59="expert",2,IF(AF59="prof",1,0))*AA43+VALUE(IF(AD59="Str",AA50,IF(AD59="Dex",AC50,IF(AD59="Con",AE50,IF(AD59="Int",AG50,IF(AD59="Wis",AI50,IF(AD59="Cha",AK50,"")))))))</f>
        <v>2</v>
      </c>
      <c r="AF59" s="141" t="s">
        <v>932</v>
      </c>
      <c r="AG59" s="199"/>
      <c r="AH59" s="186"/>
      <c r="AI59" s="137"/>
      <c r="AJ59" s="186"/>
      <c r="AK59" s="186"/>
      <c r="AL59" s="141"/>
    </row>
    <row r="60" spans="1:38" ht="16.5" x14ac:dyDescent="0.3">
      <c r="A60" s="240" t="s">
        <v>915</v>
      </c>
      <c r="B60" s="241"/>
      <c r="C60" s="185"/>
      <c r="D60" s="140" t="s">
        <v>935</v>
      </c>
      <c r="E60" s="140">
        <f>IF(F60="expert",2,IF(F60="prof",1,0))*A43+VALUE(IF(D60="Str",A50,IF(D60="Dex",C50,IF(D60="Con",E50,IF(D60="Int",G50,IF(D60="Wis",I50,IF(D60="Cha",K50,"")))))))</f>
        <v>0</v>
      </c>
      <c r="F60" s="141" t="s">
        <v>915</v>
      </c>
      <c r="G60" s="199"/>
      <c r="H60" s="186"/>
      <c r="I60" s="137"/>
      <c r="J60" s="186"/>
      <c r="K60" s="186"/>
      <c r="L60" s="141"/>
      <c r="N60" s="240" t="s">
        <v>915</v>
      </c>
      <c r="O60" s="241"/>
      <c r="P60" s="185"/>
      <c r="Q60" s="140" t="s">
        <v>935</v>
      </c>
      <c r="R60" s="140">
        <f>IF(S60="expert",2,IF(S60="prof",1,0))*N43+VALUE(IF(Q60="Str",N50,IF(Q60="Dex",P50,IF(Q60="Con",R50,IF(Q60="Int",T50,IF(Q60="Wis",V50,IF(Q60="Cha",X50,"")))))))</f>
        <v>1</v>
      </c>
      <c r="S60" s="141" t="s">
        <v>915</v>
      </c>
      <c r="T60" s="199"/>
      <c r="U60" s="186"/>
      <c r="V60" s="137"/>
      <c r="W60" s="186"/>
      <c r="X60" s="186"/>
      <c r="Y60" s="141"/>
      <c r="AA60" s="240" t="s">
        <v>915</v>
      </c>
      <c r="AB60" s="241"/>
      <c r="AC60" s="185"/>
      <c r="AD60" s="140" t="s">
        <v>935</v>
      </c>
      <c r="AE60" s="140">
        <f>IF(AF60="expert",2,IF(AF60="prof",1,0))*AA43+VALUE(IF(AD60="Str",AA50,IF(AD60="Dex",AC50,IF(AD60="Con",AE50,IF(AD60="Int",AG50,IF(AD60="Wis",AI50,IF(AD60="Cha",AK50,"")))))))</f>
        <v>2</v>
      </c>
      <c r="AF60" s="141" t="s">
        <v>915</v>
      </c>
      <c r="AG60" s="199"/>
      <c r="AH60" s="186"/>
      <c r="AI60" s="137"/>
      <c r="AJ60" s="186"/>
      <c r="AK60" s="186"/>
      <c r="AL60" s="141"/>
    </row>
    <row r="61" spans="1:38" ht="16.5" x14ac:dyDescent="0.3">
      <c r="A61" s="240" t="s">
        <v>915</v>
      </c>
      <c r="B61" s="241"/>
      <c r="C61" s="185"/>
      <c r="D61" s="140" t="s">
        <v>937</v>
      </c>
      <c r="E61" s="140">
        <f>IF(F61="expert",2,IF(F61="prof",1,0))*A43+VALUE(IF(D61="Str",A50,IF(D61="Dex",C50,IF(D61="Con",E50,IF(D61="Int",G50,IF(D61="Wis",I50,IF(D61="Cha",K50,"")))))))</f>
        <v>0</v>
      </c>
      <c r="F61" s="141" t="s">
        <v>915</v>
      </c>
      <c r="G61" s="199"/>
      <c r="H61" s="186"/>
      <c r="I61" s="137"/>
      <c r="J61" s="186"/>
      <c r="K61" s="186"/>
      <c r="L61" s="141"/>
      <c r="N61" s="240" t="s">
        <v>915</v>
      </c>
      <c r="O61" s="241"/>
      <c r="P61" s="185"/>
      <c r="Q61" s="140" t="s">
        <v>937</v>
      </c>
      <c r="R61" s="140">
        <f>IF(S61="expert",2,IF(S61="prof",1,0))*N43+VALUE(IF(Q61="Str",N50,IF(Q61="Dex",P50,IF(Q61="Con",R50,IF(Q61="Int",T50,IF(Q61="Wis",V50,IF(Q61="Cha",X50,"")))))))</f>
        <v>0</v>
      </c>
      <c r="S61" s="141" t="s">
        <v>915</v>
      </c>
      <c r="T61" s="199"/>
      <c r="U61" s="186"/>
      <c r="V61" s="137"/>
      <c r="W61" s="186"/>
      <c r="X61" s="186"/>
      <c r="Y61" s="141"/>
      <c r="AA61" s="240" t="s">
        <v>915</v>
      </c>
      <c r="AB61" s="241"/>
      <c r="AC61" s="185"/>
      <c r="AD61" s="140" t="s">
        <v>937</v>
      </c>
      <c r="AE61" s="140">
        <f>IF(AF61="expert",2,IF(AF61="prof",1,0))*AA43+VALUE(IF(AD61="Str",AA50,IF(AD61="Dex",AC50,IF(AD61="Con",AE50,IF(AD61="Int",AG50,IF(AD61="Wis",AI50,IF(AD61="Cha",AK50,"")))))))</f>
        <v>0</v>
      </c>
      <c r="AF61" s="141" t="s">
        <v>915</v>
      </c>
      <c r="AG61" s="199"/>
      <c r="AH61" s="186"/>
      <c r="AI61" s="137"/>
      <c r="AJ61" s="186"/>
      <c r="AK61" s="186"/>
      <c r="AL61" s="141"/>
    </row>
    <row r="62" spans="1:38" ht="17.25" thickBot="1" x14ac:dyDescent="0.35">
      <c r="A62" s="240" t="s">
        <v>915</v>
      </c>
      <c r="B62" s="241"/>
      <c r="C62" s="185"/>
      <c r="D62" s="144" t="s">
        <v>938</v>
      </c>
      <c r="E62" s="144">
        <f>IF(F62="expert",2,IF(F62="prof",1,0))*A43+VALUE(IF(D62="Str",A50,IF(D62="Dex",C50,IF(D62="Con",E50,IF(D62="Int",G50,IF(D62="Wis",I50,IF(D62="Cha",K50,"")))))))</f>
        <v>0</v>
      </c>
      <c r="F62" s="145" t="s">
        <v>915</v>
      </c>
      <c r="G62" s="199"/>
      <c r="H62" s="186"/>
      <c r="I62" s="137"/>
      <c r="J62" s="186"/>
      <c r="K62" s="186"/>
      <c r="L62" s="141"/>
      <c r="N62" s="240" t="s">
        <v>915</v>
      </c>
      <c r="O62" s="241"/>
      <c r="P62" s="185"/>
      <c r="Q62" s="144" t="s">
        <v>938</v>
      </c>
      <c r="R62" s="144">
        <f>IF(S62="expert",2,IF(S62="prof",1,0))*N43+VALUE(IF(Q62="Str",N50,IF(Q62="Dex",P50,IF(Q62="Con",R50,IF(Q62="Int",T50,IF(Q62="Wis",V50,IF(Q62="Cha",X50,"")))))))</f>
        <v>0</v>
      </c>
      <c r="S62" s="145" t="s">
        <v>915</v>
      </c>
      <c r="T62" s="199"/>
      <c r="U62" s="186"/>
      <c r="V62" s="137"/>
      <c r="W62" s="186"/>
      <c r="X62" s="186"/>
      <c r="Y62" s="141"/>
      <c r="AA62" s="240" t="s">
        <v>915</v>
      </c>
      <c r="AB62" s="241"/>
      <c r="AC62" s="185"/>
      <c r="AD62" s="144" t="s">
        <v>938</v>
      </c>
      <c r="AE62" s="144">
        <f>IF(AF62="expert",2,IF(AF62="prof",1,0))*AA43+VALUE(IF(AD62="Str",AA50,IF(AD62="Dex",AC50,IF(AD62="Con",AE50,IF(AD62="Int",AG50,IF(AD62="Wis",AI50,IF(AD62="Cha",AK50,"")))))))</f>
        <v>0</v>
      </c>
      <c r="AF62" s="145" t="s">
        <v>915</v>
      </c>
      <c r="AG62" s="199"/>
      <c r="AH62" s="186"/>
      <c r="AI62" s="137"/>
      <c r="AJ62" s="186"/>
      <c r="AK62" s="186"/>
      <c r="AL62" s="141"/>
    </row>
    <row r="63" spans="1:38" ht="17.25" thickBot="1" x14ac:dyDescent="0.35">
      <c r="A63" s="200" t="s">
        <v>939</v>
      </c>
      <c r="B63" s="201"/>
      <c r="C63" s="201"/>
      <c r="D63" s="202"/>
      <c r="E63" s="203" t="s">
        <v>940</v>
      </c>
      <c r="F63" s="204"/>
      <c r="G63" s="185"/>
      <c r="H63" s="186"/>
      <c r="I63" s="137"/>
      <c r="J63" s="186"/>
      <c r="K63" s="186"/>
      <c r="L63" s="141"/>
      <c r="N63" s="200" t="s">
        <v>939</v>
      </c>
      <c r="O63" s="201"/>
      <c r="P63" s="201"/>
      <c r="Q63" s="202"/>
      <c r="R63" s="203" t="s">
        <v>940</v>
      </c>
      <c r="S63" s="204"/>
      <c r="T63" s="185"/>
      <c r="U63" s="186"/>
      <c r="V63" s="137"/>
      <c r="W63" s="186"/>
      <c r="X63" s="186"/>
      <c r="Y63" s="141"/>
      <c r="AA63" s="200" t="s">
        <v>939</v>
      </c>
      <c r="AB63" s="201"/>
      <c r="AC63" s="201"/>
      <c r="AD63" s="202"/>
      <c r="AE63" s="203" t="s">
        <v>940</v>
      </c>
      <c r="AF63" s="204"/>
      <c r="AG63" s="185"/>
      <c r="AH63" s="186"/>
      <c r="AI63" s="137"/>
      <c r="AJ63" s="186"/>
      <c r="AK63" s="186"/>
      <c r="AL63" s="141"/>
    </row>
    <row r="64" spans="1:38" ht="16.5" x14ac:dyDescent="0.3">
      <c r="A64" s="190"/>
      <c r="B64" s="191"/>
      <c r="C64" s="191"/>
      <c r="D64" s="191"/>
      <c r="E64" s="186"/>
      <c r="F64" s="192"/>
      <c r="G64" s="185"/>
      <c r="H64" s="186"/>
      <c r="I64" s="137"/>
      <c r="J64" s="186"/>
      <c r="K64" s="186"/>
      <c r="L64" s="141"/>
      <c r="N64" s="190"/>
      <c r="O64" s="191"/>
      <c r="P64" s="191"/>
      <c r="Q64" s="191"/>
      <c r="R64" s="186"/>
      <c r="S64" s="192"/>
      <c r="T64" s="185"/>
      <c r="U64" s="186"/>
      <c r="V64" s="137"/>
      <c r="W64" s="186"/>
      <c r="X64" s="186"/>
      <c r="Y64" s="141"/>
      <c r="AA64" s="190"/>
      <c r="AB64" s="191"/>
      <c r="AC64" s="191"/>
      <c r="AD64" s="191"/>
      <c r="AE64" s="186"/>
      <c r="AF64" s="192"/>
      <c r="AG64" s="185"/>
      <c r="AH64" s="186"/>
      <c r="AI64" s="137"/>
      <c r="AJ64" s="186"/>
      <c r="AK64" s="186"/>
      <c r="AL64" s="141"/>
    </row>
    <row r="65" spans="1:38" ht="17.25" thickBot="1" x14ac:dyDescent="0.35">
      <c r="A65" s="193"/>
      <c r="B65" s="194"/>
      <c r="C65" s="194"/>
      <c r="D65" s="194"/>
      <c r="E65" s="194"/>
      <c r="F65" s="195"/>
      <c r="G65" s="196"/>
      <c r="H65" s="194"/>
      <c r="I65" s="146"/>
      <c r="J65" s="194"/>
      <c r="K65" s="194"/>
      <c r="L65" s="147"/>
      <c r="N65" s="193"/>
      <c r="O65" s="194"/>
      <c r="P65" s="194"/>
      <c r="Q65" s="194"/>
      <c r="R65" s="194"/>
      <c r="S65" s="195"/>
      <c r="T65" s="196"/>
      <c r="U65" s="194"/>
      <c r="V65" s="146"/>
      <c r="W65" s="194"/>
      <c r="X65" s="194"/>
      <c r="Y65" s="147"/>
      <c r="AA65" s="193"/>
      <c r="AB65" s="194"/>
      <c r="AC65" s="194"/>
      <c r="AD65" s="194"/>
      <c r="AE65" s="194"/>
      <c r="AF65" s="195"/>
      <c r="AG65" s="196"/>
      <c r="AH65" s="194"/>
      <c r="AI65" s="146"/>
      <c r="AJ65" s="194"/>
      <c r="AK65" s="194"/>
      <c r="AL65" s="147"/>
    </row>
    <row r="66" spans="1:38" ht="15.75" thickBot="1" x14ac:dyDescent="0.3">
      <c r="A66" s="177" t="s">
        <v>941</v>
      </c>
      <c r="B66" s="178"/>
      <c r="C66" s="178"/>
      <c r="D66" s="178"/>
      <c r="E66" s="178"/>
      <c r="F66" s="179"/>
      <c r="G66" s="180" t="s">
        <v>942</v>
      </c>
      <c r="H66" s="181"/>
      <c r="I66" s="181"/>
      <c r="J66" s="181"/>
      <c r="K66" s="181"/>
      <c r="L66" s="182"/>
      <c r="N66" s="177" t="s">
        <v>941</v>
      </c>
      <c r="O66" s="178"/>
      <c r="P66" s="178"/>
      <c r="Q66" s="178"/>
      <c r="R66" s="178"/>
      <c r="S66" s="179"/>
      <c r="T66" s="180" t="s">
        <v>942</v>
      </c>
      <c r="U66" s="181"/>
      <c r="V66" s="181"/>
      <c r="W66" s="181"/>
      <c r="X66" s="181"/>
      <c r="Y66" s="182"/>
      <c r="AA66" s="177" t="s">
        <v>941</v>
      </c>
      <c r="AB66" s="178"/>
      <c r="AC66" s="178"/>
      <c r="AD66" s="178"/>
      <c r="AE66" s="178"/>
      <c r="AF66" s="179"/>
      <c r="AG66" s="180" t="s">
        <v>942</v>
      </c>
      <c r="AH66" s="181"/>
      <c r="AI66" s="181"/>
      <c r="AJ66" s="181"/>
      <c r="AK66" s="181"/>
      <c r="AL66" s="182"/>
    </row>
    <row r="67" spans="1:38" x14ac:dyDescent="0.25">
      <c r="A67" s="183" t="s">
        <v>943</v>
      </c>
      <c r="B67" s="183"/>
      <c r="C67" s="148" t="s">
        <v>944</v>
      </c>
      <c r="D67" s="149" t="s">
        <v>945</v>
      </c>
      <c r="E67" s="149" t="s">
        <v>946</v>
      </c>
      <c r="F67" s="150" t="s">
        <v>947</v>
      </c>
      <c r="G67" s="168"/>
      <c r="H67" s="169"/>
      <c r="I67" s="169"/>
      <c r="J67" s="169"/>
      <c r="K67" s="169"/>
      <c r="L67" s="170"/>
      <c r="N67" s="183" t="s">
        <v>943</v>
      </c>
      <c r="O67" s="183"/>
      <c r="P67" s="148" t="s">
        <v>944</v>
      </c>
      <c r="Q67" s="149" t="s">
        <v>945</v>
      </c>
      <c r="R67" s="149" t="s">
        <v>946</v>
      </c>
      <c r="S67" s="150" t="s">
        <v>947</v>
      </c>
      <c r="T67" s="168"/>
      <c r="U67" s="169"/>
      <c r="V67" s="169"/>
      <c r="W67" s="169"/>
      <c r="X67" s="169"/>
      <c r="Y67" s="170"/>
      <c r="AA67" s="183" t="s">
        <v>943</v>
      </c>
      <c r="AB67" s="183"/>
      <c r="AC67" s="148" t="s">
        <v>944</v>
      </c>
      <c r="AD67" s="149" t="s">
        <v>945</v>
      </c>
      <c r="AE67" s="149" t="s">
        <v>946</v>
      </c>
      <c r="AF67" s="150" t="s">
        <v>947</v>
      </c>
      <c r="AG67" s="168"/>
      <c r="AH67" s="169"/>
      <c r="AI67" s="169"/>
      <c r="AJ67" s="169"/>
      <c r="AK67" s="169"/>
      <c r="AL67" s="170"/>
    </row>
    <row r="68" spans="1:38" x14ac:dyDescent="0.25">
      <c r="A68" s="186" t="s">
        <v>952</v>
      </c>
      <c r="B68" s="186"/>
      <c r="C68" s="140">
        <v>1</v>
      </c>
      <c r="D68" s="1" t="s">
        <v>950</v>
      </c>
      <c r="E68" s="151">
        <v>3</v>
      </c>
      <c r="F68" s="65" t="s">
        <v>953</v>
      </c>
      <c r="G68" s="171"/>
      <c r="H68" s="172"/>
      <c r="I68" s="172"/>
      <c r="J68" s="172"/>
      <c r="K68" s="172"/>
      <c r="L68" s="173"/>
      <c r="N68" s="186" t="s">
        <v>970</v>
      </c>
      <c r="O68" s="186"/>
      <c r="P68" s="140">
        <v>1</v>
      </c>
      <c r="Q68" s="1" t="s">
        <v>950</v>
      </c>
      <c r="R68" s="151">
        <v>3</v>
      </c>
      <c r="S68" s="65" t="s">
        <v>953</v>
      </c>
      <c r="T68" s="171"/>
      <c r="U68" s="172"/>
      <c r="V68" s="172"/>
      <c r="W68" s="172"/>
      <c r="X68" s="172"/>
      <c r="Y68" s="173"/>
      <c r="AA68" s="186" t="s">
        <v>971</v>
      </c>
      <c r="AB68" s="186"/>
      <c r="AC68" s="140">
        <v>2</v>
      </c>
      <c r="AD68" s="1" t="s">
        <v>950</v>
      </c>
      <c r="AE68" s="151">
        <v>5</v>
      </c>
      <c r="AF68" s="65" t="s">
        <v>972</v>
      </c>
      <c r="AG68" s="171"/>
      <c r="AH68" s="172"/>
      <c r="AI68" s="172"/>
      <c r="AJ68" s="172"/>
      <c r="AK68" s="172"/>
      <c r="AL68" s="173"/>
    </row>
    <row r="69" spans="1:38" x14ac:dyDescent="0.25">
      <c r="A69" s="186"/>
      <c r="B69" s="186"/>
      <c r="C69" s="140"/>
      <c r="D69" s="1" t="s">
        <v>950</v>
      </c>
      <c r="E69" s="151"/>
      <c r="F69" s="65"/>
      <c r="G69" s="171"/>
      <c r="H69" s="172"/>
      <c r="I69" s="172"/>
      <c r="J69" s="172"/>
      <c r="K69" s="172"/>
      <c r="L69" s="173"/>
      <c r="N69" s="186" t="s">
        <v>970</v>
      </c>
      <c r="O69" s="186"/>
      <c r="P69" s="140">
        <v>1</v>
      </c>
      <c r="Q69" s="1" t="s">
        <v>973</v>
      </c>
      <c r="R69" s="151">
        <v>3</v>
      </c>
      <c r="S69" s="65" t="s">
        <v>953</v>
      </c>
      <c r="T69" s="171"/>
      <c r="U69" s="172"/>
      <c r="V69" s="172"/>
      <c r="W69" s="172"/>
      <c r="X69" s="172"/>
      <c r="Y69" s="173"/>
      <c r="AA69" s="186" t="s">
        <v>974</v>
      </c>
      <c r="AB69" s="186"/>
      <c r="AC69" s="140">
        <v>1</v>
      </c>
      <c r="AD69" s="1" t="s">
        <v>975</v>
      </c>
      <c r="AE69" s="151">
        <v>2</v>
      </c>
      <c r="AF69" s="65" t="s">
        <v>976</v>
      </c>
      <c r="AG69" s="171"/>
      <c r="AH69" s="172"/>
      <c r="AI69" s="172"/>
      <c r="AJ69" s="172"/>
      <c r="AK69" s="172"/>
      <c r="AL69" s="173"/>
    </row>
    <row r="70" spans="1:38" x14ac:dyDescent="0.25">
      <c r="A70" s="186"/>
      <c r="B70" s="186"/>
      <c r="C70" s="140"/>
      <c r="D70" s="1" t="s">
        <v>950</v>
      </c>
      <c r="E70" s="1"/>
      <c r="F70" s="65"/>
      <c r="G70" s="171"/>
      <c r="H70" s="172"/>
      <c r="I70" s="172"/>
      <c r="J70" s="172"/>
      <c r="K70" s="172"/>
      <c r="L70" s="173"/>
      <c r="N70" s="186"/>
      <c r="O70" s="186"/>
      <c r="P70" s="140"/>
      <c r="Q70" s="1" t="s">
        <v>950</v>
      </c>
      <c r="R70" s="1"/>
      <c r="S70" s="65"/>
      <c r="T70" s="171"/>
      <c r="U70" s="172"/>
      <c r="V70" s="172"/>
      <c r="W70" s="172"/>
      <c r="X70" s="172"/>
      <c r="Y70" s="173"/>
      <c r="AA70" s="186"/>
      <c r="AB70" s="186"/>
      <c r="AC70" s="140"/>
      <c r="AD70" s="1" t="s">
        <v>950</v>
      </c>
      <c r="AE70" s="1"/>
      <c r="AF70" s="65"/>
      <c r="AG70" s="171"/>
      <c r="AH70" s="172"/>
      <c r="AI70" s="172"/>
      <c r="AJ70" s="172"/>
      <c r="AK70" s="172"/>
      <c r="AL70" s="173"/>
    </row>
    <row r="71" spans="1:38" ht="16.5" x14ac:dyDescent="0.3">
      <c r="A71" s="187" t="s">
        <v>959</v>
      </c>
      <c r="B71" s="187"/>
      <c r="C71" s="187"/>
      <c r="D71" s="188" t="s">
        <v>915</v>
      </c>
      <c r="E71" s="189"/>
      <c r="F71" s="189"/>
      <c r="G71" s="171"/>
      <c r="H71" s="172"/>
      <c r="I71" s="172"/>
      <c r="J71" s="172"/>
      <c r="K71" s="172"/>
      <c r="L71" s="173"/>
      <c r="N71" s="187" t="s">
        <v>959</v>
      </c>
      <c r="O71" s="187"/>
      <c r="P71" s="187"/>
      <c r="Q71" s="188" t="s">
        <v>915</v>
      </c>
      <c r="R71" s="189"/>
      <c r="S71" s="189"/>
      <c r="T71" s="171"/>
      <c r="U71" s="172"/>
      <c r="V71" s="172"/>
      <c r="W71" s="172"/>
      <c r="X71" s="172"/>
      <c r="Y71" s="173"/>
      <c r="AA71" s="187" t="s">
        <v>959</v>
      </c>
      <c r="AB71" s="187"/>
      <c r="AC71" s="187"/>
      <c r="AD71" s="188" t="s">
        <v>915</v>
      </c>
      <c r="AE71" s="189"/>
      <c r="AF71" s="189"/>
      <c r="AG71" s="171"/>
      <c r="AH71" s="172"/>
      <c r="AI71" s="172"/>
      <c r="AJ71" s="172"/>
      <c r="AK71" s="172"/>
      <c r="AL71" s="173"/>
    </row>
    <row r="72" spans="1:38" ht="15.75" thickBot="1" x14ac:dyDescent="0.3">
      <c r="A72" s="167" t="s">
        <v>960</v>
      </c>
      <c r="B72" s="167"/>
      <c r="C72" s="144">
        <f>A43+IF(D71="Int",G50,IF(D71="Wis",I50,IF(D71="Cha",K50,0)))</f>
        <v>2</v>
      </c>
      <c r="D72" s="167" t="s">
        <v>961</v>
      </c>
      <c r="E72" s="167"/>
      <c r="F72" s="152">
        <f>8+A43+IF(D71="Int",G50,IF(D71="Wis",I50,IF(D71="Cha",K50,0)))</f>
        <v>10</v>
      </c>
      <c r="G72" s="171"/>
      <c r="H72" s="172"/>
      <c r="I72" s="172"/>
      <c r="J72" s="172"/>
      <c r="K72" s="172"/>
      <c r="L72" s="173"/>
      <c r="N72" s="167" t="s">
        <v>960</v>
      </c>
      <c r="O72" s="167"/>
      <c r="P72" s="144">
        <f>N43+IF(Q71="Int",T50,IF(Q71="Wis",V50,IF(Q71="Cha",X50,0)))</f>
        <v>2</v>
      </c>
      <c r="Q72" s="167" t="s">
        <v>961</v>
      </c>
      <c r="R72" s="167"/>
      <c r="S72" s="152">
        <f>8+N43+IF(Q71="Int",T50,IF(Q71="Wis",V50,IF(Q71="Cha",X50,0)))</f>
        <v>10</v>
      </c>
      <c r="T72" s="171"/>
      <c r="U72" s="172"/>
      <c r="V72" s="172"/>
      <c r="W72" s="172"/>
      <c r="X72" s="172"/>
      <c r="Y72" s="173"/>
      <c r="AA72" s="167" t="s">
        <v>960</v>
      </c>
      <c r="AB72" s="167"/>
      <c r="AC72" s="144">
        <f>AA43+IF(AD71="Int",AG50,IF(AD71="Wis",AI50,IF(AD71="Cha",AK50,0)))</f>
        <v>2</v>
      </c>
      <c r="AD72" s="167" t="s">
        <v>961</v>
      </c>
      <c r="AE72" s="167"/>
      <c r="AF72" s="152">
        <f>8+AA43+IF(AD71="Int",AG50,IF(AD71="Wis",AI50,IF(AD71="Cha",AK50,0)))</f>
        <v>10</v>
      </c>
      <c r="AG72" s="171"/>
      <c r="AH72" s="172"/>
      <c r="AI72" s="172"/>
      <c r="AJ72" s="172"/>
      <c r="AK72" s="172"/>
      <c r="AL72" s="173"/>
    </row>
    <row r="73" spans="1:38" x14ac:dyDescent="0.25">
      <c r="A73" s="168" t="s">
        <v>977</v>
      </c>
      <c r="B73" s="169"/>
      <c r="C73" s="169"/>
      <c r="D73" s="169"/>
      <c r="E73" s="169"/>
      <c r="F73" s="170"/>
      <c r="G73" s="171"/>
      <c r="H73" s="172"/>
      <c r="I73" s="172"/>
      <c r="J73" s="172"/>
      <c r="K73" s="172"/>
      <c r="L73" s="173"/>
      <c r="N73" s="168"/>
      <c r="O73" s="169"/>
      <c r="P73" s="169"/>
      <c r="Q73" s="169"/>
      <c r="R73" s="169"/>
      <c r="S73" s="170"/>
      <c r="T73" s="171"/>
      <c r="U73" s="172"/>
      <c r="V73" s="172"/>
      <c r="W73" s="172"/>
      <c r="X73" s="172"/>
      <c r="Y73" s="173"/>
      <c r="AA73" s="168" t="s">
        <v>978</v>
      </c>
      <c r="AB73" s="169"/>
      <c r="AC73" s="169"/>
      <c r="AD73" s="169"/>
      <c r="AE73" s="169"/>
      <c r="AF73" s="170"/>
      <c r="AG73" s="171"/>
      <c r="AH73" s="172"/>
      <c r="AI73" s="172"/>
      <c r="AJ73" s="172"/>
      <c r="AK73" s="172"/>
      <c r="AL73" s="173"/>
    </row>
    <row r="74" spans="1:38" x14ac:dyDescent="0.25">
      <c r="A74" s="171"/>
      <c r="B74" s="172"/>
      <c r="C74" s="172"/>
      <c r="D74" s="172"/>
      <c r="E74" s="172"/>
      <c r="F74" s="173"/>
      <c r="G74" s="171"/>
      <c r="H74" s="172"/>
      <c r="I74" s="172"/>
      <c r="J74" s="172"/>
      <c r="K74" s="172"/>
      <c r="L74" s="173"/>
      <c r="N74" s="171"/>
      <c r="O74" s="172"/>
      <c r="P74" s="172"/>
      <c r="Q74" s="172"/>
      <c r="R74" s="172"/>
      <c r="S74" s="173"/>
      <c r="T74" s="171"/>
      <c r="U74" s="172"/>
      <c r="V74" s="172"/>
      <c r="W74" s="172"/>
      <c r="X74" s="172"/>
      <c r="Y74" s="173"/>
      <c r="AA74" s="171"/>
      <c r="AB74" s="172"/>
      <c r="AC74" s="172"/>
      <c r="AD74" s="172"/>
      <c r="AE74" s="172"/>
      <c r="AF74" s="173"/>
      <c r="AG74" s="171"/>
      <c r="AH74" s="172"/>
      <c r="AI74" s="172"/>
      <c r="AJ74" s="172"/>
      <c r="AK74" s="172"/>
      <c r="AL74" s="173"/>
    </row>
    <row r="75" spans="1:38" x14ac:dyDescent="0.25">
      <c r="A75" s="171"/>
      <c r="B75" s="172"/>
      <c r="C75" s="172"/>
      <c r="D75" s="172"/>
      <c r="E75" s="172"/>
      <c r="F75" s="173"/>
      <c r="G75" s="171"/>
      <c r="H75" s="172"/>
      <c r="I75" s="172"/>
      <c r="J75" s="172"/>
      <c r="K75" s="172"/>
      <c r="L75" s="173"/>
      <c r="N75" s="171"/>
      <c r="O75" s="172"/>
      <c r="P75" s="172"/>
      <c r="Q75" s="172"/>
      <c r="R75" s="172"/>
      <c r="S75" s="173"/>
      <c r="T75" s="171"/>
      <c r="U75" s="172"/>
      <c r="V75" s="172"/>
      <c r="W75" s="172"/>
      <c r="X75" s="172"/>
      <c r="Y75" s="173"/>
      <c r="AA75" s="171"/>
      <c r="AB75" s="172"/>
      <c r="AC75" s="172"/>
      <c r="AD75" s="172"/>
      <c r="AE75" s="172"/>
      <c r="AF75" s="173"/>
      <c r="AG75" s="171"/>
      <c r="AH75" s="172"/>
      <c r="AI75" s="172"/>
      <c r="AJ75" s="172"/>
      <c r="AK75" s="172"/>
      <c r="AL75" s="173"/>
    </row>
    <row r="76" spans="1:38" x14ac:dyDescent="0.25">
      <c r="A76" s="171"/>
      <c r="B76" s="172"/>
      <c r="C76" s="172"/>
      <c r="D76" s="172"/>
      <c r="E76" s="172"/>
      <c r="F76" s="173"/>
      <c r="G76" s="171"/>
      <c r="H76" s="172"/>
      <c r="I76" s="172"/>
      <c r="J76" s="172"/>
      <c r="K76" s="172"/>
      <c r="L76" s="173"/>
      <c r="N76" s="171"/>
      <c r="O76" s="172"/>
      <c r="P76" s="172"/>
      <c r="Q76" s="172"/>
      <c r="R76" s="172"/>
      <c r="S76" s="173"/>
      <c r="T76" s="171"/>
      <c r="U76" s="172"/>
      <c r="V76" s="172"/>
      <c r="W76" s="172"/>
      <c r="X76" s="172"/>
      <c r="Y76" s="173"/>
      <c r="AA76" s="171"/>
      <c r="AB76" s="172"/>
      <c r="AC76" s="172"/>
      <c r="AD76" s="172"/>
      <c r="AE76" s="172"/>
      <c r="AF76" s="173"/>
      <c r="AG76" s="171"/>
      <c r="AH76" s="172"/>
      <c r="AI76" s="172"/>
      <c r="AJ76" s="172"/>
      <c r="AK76" s="172"/>
      <c r="AL76" s="173"/>
    </row>
    <row r="77" spans="1:38" x14ac:dyDescent="0.25">
      <c r="A77" s="171"/>
      <c r="B77" s="172"/>
      <c r="C77" s="172"/>
      <c r="D77" s="172"/>
      <c r="E77" s="172"/>
      <c r="F77" s="173"/>
      <c r="G77" s="171"/>
      <c r="H77" s="172"/>
      <c r="I77" s="172"/>
      <c r="J77" s="172"/>
      <c r="K77" s="172"/>
      <c r="L77" s="173"/>
      <c r="N77" s="171"/>
      <c r="O77" s="172"/>
      <c r="P77" s="172"/>
      <c r="Q77" s="172"/>
      <c r="R77" s="172"/>
      <c r="S77" s="173"/>
      <c r="T77" s="171"/>
      <c r="U77" s="172"/>
      <c r="V77" s="172"/>
      <c r="W77" s="172"/>
      <c r="X77" s="172"/>
      <c r="Y77" s="173"/>
      <c r="AA77" s="171"/>
      <c r="AB77" s="172"/>
      <c r="AC77" s="172"/>
      <c r="AD77" s="172"/>
      <c r="AE77" s="172"/>
      <c r="AF77" s="173"/>
      <c r="AG77" s="171"/>
      <c r="AH77" s="172"/>
      <c r="AI77" s="172"/>
      <c r="AJ77" s="172"/>
      <c r="AK77" s="172"/>
      <c r="AL77" s="173"/>
    </row>
    <row r="78" spans="1:38" x14ac:dyDescent="0.25">
      <c r="A78" s="171"/>
      <c r="B78" s="172"/>
      <c r="C78" s="172"/>
      <c r="D78" s="172"/>
      <c r="E78" s="172"/>
      <c r="F78" s="173"/>
      <c r="G78" s="171"/>
      <c r="H78" s="172"/>
      <c r="I78" s="172"/>
      <c r="J78" s="172"/>
      <c r="K78" s="172"/>
      <c r="L78" s="173"/>
      <c r="N78" s="171"/>
      <c r="O78" s="172"/>
      <c r="P78" s="172"/>
      <c r="Q78" s="172"/>
      <c r="R78" s="172"/>
      <c r="S78" s="173"/>
      <c r="T78" s="171"/>
      <c r="U78" s="172"/>
      <c r="V78" s="172"/>
      <c r="W78" s="172"/>
      <c r="X78" s="172"/>
      <c r="Y78" s="173"/>
      <c r="AA78" s="171"/>
      <c r="AB78" s="172"/>
      <c r="AC78" s="172"/>
      <c r="AD78" s="172"/>
      <c r="AE78" s="172"/>
      <c r="AF78" s="173"/>
      <c r="AG78" s="171"/>
      <c r="AH78" s="172"/>
      <c r="AI78" s="172"/>
      <c r="AJ78" s="172"/>
      <c r="AK78" s="172"/>
      <c r="AL78" s="173"/>
    </row>
    <row r="79" spans="1:38" x14ac:dyDescent="0.25">
      <c r="A79" s="171"/>
      <c r="B79" s="172"/>
      <c r="C79" s="172"/>
      <c r="D79" s="172"/>
      <c r="E79" s="172"/>
      <c r="F79" s="173"/>
      <c r="G79" s="171"/>
      <c r="H79" s="172"/>
      <c r="I79" s="172"/>
      <c r="J79" s="172"/>
      <c r="K79" s="172"/>
      <c r="L79" s="173"/>
      <c r="N79" s="171"/>
      <c r="O79" s="172"/>
      <c r="P79" s="172"/>
      <c r="Q79" s="172"/>
      <c r="R79" s="172"/>
      <c r="S79" s="173"/>
      <c r="T79" s="171"/>
      <c r="U79" s="172"/>
      <c r="V79" s="172"/>
      <c r="W79" s="172"/>
      <c r="X79" s="172"/>
      <c r="Y79" s="173"/>
      <c r="AA79" s="171"/>
      <c r="AB79" s="172"/>
      <c r="AC79" s="172"/>
      <c r="AD79" s="172"/>
      <c r="AE79" s="172"/>
      <c r="AF79" s="173"/>
      <c r="AG79" s="171"/>
      <c r="AH79" s="172"/>
      <c r="AI79" s="172"/>
      <c r="AJ79" s="172"/>
      <c r="AK79" s="172"/>
      <c r="AL79" s="173"/>
    </row>
    <row r="80" spans="1:38" x14ac:dyDescent="0.25">
      <c r="A80" s="171"/>
      <c r="B80" s="172"/>
      <c r="C80" s="172"/>
      <c r="D80" s="172"/>
      <c r="E80" s="172"/>
      <c r="F80" s="173"/>
      <c r="G80" s="171"/>
      <c r="H80" s="172"/>
      <c r="I80" s="172"/>
      <c r="J80" s="172"/>
      <c r="K80" s="172"/>
      <c r="L80" s="173"/>
      <c r="N80" s="171"/>
      <c r="O80" s="172"/>
      <c r="P80" s="172"/>
      <c r="Q80" s="172"/>
      <c r="R80" s="172"/>
      <c r="S80" s="173"/>
      <c r="T80" s="171"/>
      <c r="U80" s="172"/>
      <c r="V80" s="172"/>
      <c r="W80" s="172"/>
      <c r="X80" s="172"/>
      <c r="Y80" s="173"/>
      <c r="AA80" s="171"/>
      <c r="AB80" s="172"/>
      <c r="AC80" s="172"/>
      <c r="AD80" s="172"/>
      <c r="AE80" s="172"/>
      <c r="AF80" s="173"/>
      <c r="AG80" s="171"/>
      <c r="AH80" s="172"/>
      <c r="AI80" s="172"/>
      <c r="AJ80" s="172"/>
      <c r="AK80" s="172"/>
      <c r="AL80" s="173"/>
    </row>
    <row r="81" spans="1:38" ht="15.75" thickBot="1" x14ac:dyDescent="0.3">
      <c r="A81" s="174"/>
      <c r="B81" s="175"/>
      <c r="C81" s="175"/>
      <c r="D81" s="175"/>
      <c r="E81" s="175"/>
      <c r="F81" s="176"/>
      <c r="G81" s="174"/>
      <c r="H81" s="175"/>
      <c r="I81" s="175"/>
      <c r="J81" s="175"/>
      <c r="K81" s="175"/>
      <c r="L81" s="176"/>
      <c r="N81" s="174"/>
      <c r="O81" s="175"/>
      <c r="P81" s="175"/>
      <c r="Q81" s="175"/>
      <c r="R81" s="175"/>
      <c r="S81" s="176"/>
      <c r="T81" s="174"/>
      <c r="U81" s="175"/>
      <c r="V81" s="175"/>
      <c r="W81" s="175"/>
      <c r="X81" s="175"/>
      <c r="Y81" s="176"/>
      <c r="AA81" s="174"/>
      <c r="AB81" s="175"/>
      <c r="AC81" s="175"/>
      <c r="AD81" s="175"/>
      <c r="AE81" s="175"/>
      <c r="AF81" s="176"/>
      <c r="AG81" s="174"/>
      <c r="AH81" s="175"/>
      <c r="AI81" s="175"/>
      <c r="AJ81" s="175"/>
      <c r="AK81" s="175"/>
      <c r="AL81" s="176"/>
    </row>
    <row r="83" spans="1:38" ht="17.25" x14ac:dyDescent="0.25">
      <c r="A83" s="127">
        <v>7</v>
      </c>
      <c r="B83" s="236" t="s">
        <v>4</v>
      </c>
      <c r="C83" s="236"/>
      <c r="D83" s="236"/>
      <c r="E83" s="236"/>
      <c r="F83" s="236"/>
      <c r="G83" s="236"/>
      <c r="H83" s="236"/>
      <c r="I83" s="236"/>
      <c r="J83" s="236"/>
      <c r="K83" s="236"/>
      <c r="L83" s="236"/>
      <c r="N83" s="127">
        <v>8</v>
      </c>
      <c r="O83" s="236" t="s">
        <v>979</v>
      </c>
      <c r="P83" s="236"/>
      <c r="Q83" s="236"/>
      <c r="R83" s="236"/>
      <c r="S83" s="236"/>
      <c r="T83" s="236"/>
      <c r="U83" s="236"/>
      <c r="V83" s="236"/>
      <c r="W83" s="236"/>
      <c r="X83" s="236"/>
      <c r="Y83" s="236"/>
      <c r="AA83" s="127" t="s">
        <v>980</v>
      </c>
      <c r="AB83" s="236" t="s">
        <v>276</v>
      </c>
      <c r="AC83" s="236"/>
      <c r="AD83" s="236"/>
      <c r="AE83" s="236"/>
      <c r="AF83" s="236"/>
      <c r="AG83" s="236"/>
      <c r="AH83" s="236"/>
      <c r="AI83" s="236"/>
      <c r="AJ83" s="236"/>
      <c r="AK83" s="236"/>
      <c r="AL83" s="236"/>
    </row>
    <row r="84" spans="1:38" ht="21" x14ac:dyDescent="0.25">
      <c r="A84" s="128">
        <v>2</v>
      </c>
      <c r="B84" s="236"/>
      <c r="C84" s="236"/>
      <c r="D84" s="236"/>
      <c r="E84" s="236"/>
      <c r="F84" s="236"/>
      <c r="G84" s="236"/>
      <c r="H84" s="236"/>
      <c r="I84" s="236"/>
      <c r="J84" s="236"/>
      <c r="K84" s="236"/>
      <c r="L84" s="236"/>
      <c r="N84" s="128">
        <v>2</v>
      </c>
      <c r="O84" s="236"/>
      <c r="P84" s="236"/>
      <c r="Q84" s="236"/>
      <c r="R84" s="236"/>
      <c r="S84" s="236"/>
      <c r="T84" s="236"/>
      <c r="U84" s="236"/>
      <c r="V84" s="236"/>
      <c r="W84" s="236"/>
      <c r="X84" s="236"/>
      <c r="Y84" s="236"/>
      <c r="AA84" s="128">
        <v>2</v>
      </c>
      <c r="AB84" s="236"/>
      <c r="AC84" s="236"/>
      <c r="AD84" s="236"/>
      <c r="AE84" s="236"/>
      <c r="AF84" s="236"/>
      <c r="AG84" s="236"/>
      <c r="AH84" s="236"/>
      <c r="AI84" s="236"/>
      <c r="AJ84" s="236"/>
      <c r="AK84" s="236"/>
      <c r="AL84" s="236"/>
    </row>
    <row r="85" spans="1:38" ht="16.5" x14ac:dyDescent="0.3">
      <c r="A85" s="237" t="s">
        <v>37</v>
      </c>
      <c r="B85" s="237"/>
      <c r="C85" s="237" t="s">
        <v>981</v>
      </c>
      <c r="D85" s="237"/>
      <c r="E85" s="237" t="s">
        <v>982</v>
      </c>
      <c r="F85" s="237"/>
      <c r="G85" s="238" t="s">
        <v>909</v>
      </c>
      <c r="H85" s="239">
        <v>12</v>
      </c>
      <c r="I85" s="229" t="s">
        <v>915</v>
      </c>
      <c r="J85" s="230"/>
      <c r="K85" s="230"/>
      <c r="L85" s="231"/>
      <c r="N85" s="237" t="s">
        <v>37</v>
      </c>
      <c r="O85" s="237"/>
      <c r="P85" s="237" t="s">
        <v>18</v>
      </c>
      <c r="Q85" s="237"/>
      <c r="R85" s="237" t="s">
        <v>964</v>
      </c>
      <c r="S85" s="237"/>
      <c r="T85" s="238" t="s">
        <v>909</v>
      </c>
      <c r="U85" s="239">
        <v>13</v>
      </c>
      <c r="V85" s="229" t="s">
        <v>965</v>
      </c>
      <c r="W85" s="230"/>
      <c r="X85" s="230"/>
      <c r="Y85" s="231"/>
      <c r="AA85" s="237" t="s">
        <v>37</v>
      </c>
      <c r="AB85" s="237"/>
      <c r="AC85" s="237" t="s">
        <v>18</v>
      </c>
      <c r="AD85" s="237"/>
      <c r="AE85" s="237" t="s">
        <v>982</v>
      </c>
      <c r="AF85" s="237"/>
      <c r="AG85" s="238" t="s">
        <v>909</v>
      </c>
      <c r="AH85" s="239">
        <v>14</v>
      </c>
      <c r="AI85" s="229" t="s">
        <v>910</v>
      </c>
      <c r="AJ85" s="230"/>
      <c r="AK85" s="230"/>
      <c r="AL85" s="231"/>
    </row>
    <row r="86" spans="1:38" x14ac:dyDescent="0.25">
      <c r="A86" s="228" t="s">
        <v>2</v>
      </c>
      <c r="B86" s="228"/>
      <c r="C86" s="228" t="s">
        <v>912</v>
      </c>
      <c r="D86" s="228"/>
      <c r="E86" s="228" t="s">
        <v>913</v>
      </c>
      <c r="F86" s="228"/>
      <c r="G86" s="238"/>
      <c r="H86" s="239"/>
      <c r="I86" s="229"/>
      <c r="J86" s="230"/>
      <c r="K86" s="230"/>
      <c r="L86" s="231"/>
      <c r="N86" s="228" t="s">
        <v>2</v>
      </c>
      <c r="O86" s="228"/>
      <c r="P86" s="228" t="s">
        <v>912</v>
      </c>
      <c r="Q86" s="228"/>
      <c r="R86" s="228" t="s">
        <v>913</v>
      </c>
      <c r="S86" s="228"/>
      <c r="T86" s="238"/>
      <c r="U86" s="239"/>
      <c r="V86" s="229"/>
      <c r="W86" s="230"/>
      <c r="X86" s="230"/>
      <c r="Y86" s="231"/>
      <c r="AA86" s="228" t="s">
        <v>2</v>
      </c>
      <c r="AB86" s="228"/>
      <c r="AC86" s="228" t="s">
        <v>912</v>
      </c>
      <c r="AD86" s="228"/>
      <c r="AE86" s="228" t="s">
        <v>913</v>
      </c>
      <c r="AF86" s="228"/>
      <c r="AG86" s="238"/>
      <c r="AH86" s="239"/>
      <c r="AI86" s="229"/>
      <c r="AJ86" s="230"/>
      <c r="AK86" s="230"/>
      <c r="AL86" s="231"/>
    </row>
    <row r="87" spans="1:38" ht="15" customHeight="1" x14ac:dyDescent="0.25">
      <c r="A87" s="232">
        <f>C91</f>
        <v>2</v>
      </c>
      <c r="B87" s="232"/>
      <c r="C87" s="233">
        <v>30</v>
      </c>
      <c r="D87" s="233"/>
      <c r="E87" s="233"/>
      <c r="F87" s="233"/>
      <c r="G87" s="235">
        <v>2</v>
      </c>
      <c r="H87" s="235" t="str">
        <f>IF(C85="Tiny","d4",IF(C85="Small","d6",IF(C85="Medium","d8",IF(C85="Large","d10",IF(C85="Huge","d12",IF(C85="Gargantuan","d20",""))))))</f>
        <v>d6</v>
      </c>
      <c r="I87" s="223">
        <f>IFERROR(G87*E91,0)</f>
        <v>-2</v>
      </c>
      <c r="J87" s="224">
        <f>ROUNDDOWN((0.5*(1+VALUE(RIGHT(H87,LEN(H87)-1)))+IF(E91="",0,E91))*G87,0)</f>
        <v>5</v>
      </c>
      <c r="K87" s="224"/>
      <c r="L87" s="225">
        <v>0.125</v>
      </c>
      <c r="N87" s="232">
        <f>P91</f>
        <v>0</v>
      </c>
      <c r="O87" s="232"/>
      <c r="P87" s="233">
        <v>30</v>
      </c>
      <c r="Q87" s="233"/>
      <c r="R87" s="233"/>
      <c r="S87" s="233"/>
      <c r="T87" s="235">
        <v>5</v>
      </c>
      <c r="U87" s="235" t="str">
        <f>IF(P85="Tiny","d4",IF(P85="Small","d6",IF(P85="Medium","d8",IF(P85="Large","d10",IF(P85="Huge","d12",IF(P85="Gargantuan","d20",""))))))</f>
        <v>d8</v>
      </c>
      <c r="V87" s="223">
        <f>IFERROR(T87*R91,0)</f>
        <v>5</v>
      </c>
      <c r="W87" s="224">
        <f>ROUNDDOWN((0.5*(1+VALUE(RIGHT(U87,LEN(U87)-1)))+IF(R91="",0,R91))*T87,0)</f>
        <v>27</v>
      </c>
      <c r="X87" s="224"/>
      <c r="Y87" s="225">
        <v>2</v>
      </c>
      <c r="AA87" s="232">
        <f>AC91</f>
        <v>3</v>
      </c>
      <c r="AB87" s="232"/>
      <c r="AC87" s="233">
        <v>30</v>
      </c>
      <c r="AD87" s="233"/>
      <c r="AE87" s="233"/>
      <c r="AF87" s="233"/>
      <c r="AG87" s="235">
        <v>3</v>
      </c>
      <c r="AH87" s="235" t="str">
        <f>IF(AC85="Tiny","d4",IF(AC85="Small","d6",IF(AC85="Medium","d8",IF(AC85="Large","d10",IF(AC85="Huge","d12",IF(AC85="Gargantuan","d20",""))))))</f>
        <v>d8</v>
      </c>
      <c r="AI87" s="223">
        <f>IFERROR(AG87*AE91,0)</f>
        <v>6</v>
      </c>
      <c r="AJ87" s="224">
        <f>ROUNDDOWN((0.5*(1+VALUE(RIGHT(AH87,LEN(AH87)-1)))+IF(AE91="",0,AE91))*AG87,0)</f>
        <v>19</v>
      </c>
      <c r="AK87" s="224"/>
      <c r="AL87" s="225">
        <v>0.5</v>
      </c>
    </row>
    <row r="88" spans="1:38" ht="15" customHeight="1" x14ac:dyDescent="0.25">
      <c r="A88" s="232"/>
      <c r="B88" s="232"/>
      <c r="C88" s="234"/>
      <c r="D88" s="234"/>
      <c r="E88" s="234"/>
      <c r="F88" s="234"/>
      <c r="G88" s="235"/>
      <c r="H88" s="235"/>
      <c r="I88" s="223"/>
      <c r="J88" s="224"/>
      <c r="K88" s="224"/>
      <c r="L88" s="225"/>
      <c r="N88" s="232"/>
      <c r="O88" s="232"/>
      <c r="P88" s="234"/>
      <c r="Q88" s="234"/>
      <c r="R88" s="234"/>
      <c r="S88" s="234"/>
      <c r="T88" s="235"/>
      <c r="U88" s="235"/>
      <c r="V88" s="223"/>
      <c r="W88" s="224"/>
      <c r="X88" s="224"/>
      <c r="Y88" s="225"/>
      <c r="AA88" s="232"/>
      <c r="AB88" s="232"/>
      <c r="AC88" s="234"/>
      <c r="AD88" s="234"/>
      <c r="AE88" s="234"/>
      <c r="AF88" s="234"/>
      <c r="AG88" s="235"/>
      <c r="AH88" s="235"/>
      <c r="AI88" s="223"/>
      <c r="AJ88" s="224"/>
      <c r="AK88" s="224"/>
      <c r="AL88" s="225"/>
    </row>
    <row r="89" spans="1:38" ht="15.75" thickBot="1" x14ac:dyDescent="0.3">
      <c r="A89" s="226" t="str">
        <f>"Base Init:"&amp;C91</f>
        <v>Base Init:2</v>
      </c>
      <c r="B89" s="226"/>
      <c r="C89" s="129" t="s">
        <v>914</v>
      </c>
      <c r="D89" s="129" t="s">
        <v>915</v>
      </c>
      <c r="E89" s="129" t="s">
        <v>915</v>
      </c>
      <c r="F89" s="129" t="s">
        <v>915</v>
      </c>
      <c r="G89" s="226" t="s">
        <v>916</v>
      </c>
      <c r="H89" s="226"/>
      <c r="I89" s="226"/>
      <c r="J89" s="226"/>
      <c r="K89" s="226"/>
      <c r="L89" s="129" t="s">
        <v>11</v>
      </c>
      <c r="N89" s="226" t="str">
        <f>"Base Init:"&amp;P91</f>
        <v>Base Init:0</v>
      </c>
      <c r="O89" s="226"/>
      <c r="P89" s="129" t="s">
        <v>914</v>
      </c>
      <c r="Q89" s="129" t="s">
        <v>915</v>
      </c>
      <c r="R89" s="129" t="s">
        <v>915</v>
      </c>
      <c r="S89" s="129" t="s">
        <v>915</v>
      </c>
      <c r="T89" s="226" t="s">
        <v>916</v>
      </c>
      <c r="U89" s="226"/>
      <c r="V89" s="226"/>
      <c r="W89" s="226"/>
      <c r="X89" s="226"/>
      <c r="Y89" s="129" t="s">
        <v>11</v>
      </c>
      <c r="AA89" s="226" t="str">
        <f>"Base Init:"&amp;AC91</f>
        <v>Base Init:3</v>
      </c>
      <c r="AB89" s="226"/>
      <c r="AC89" s="129" t="s">
        <v>914</v>
      </c>
      <c r="AD89" s="129" t="s">
        <v>915</v>
      </c>
      <c r="AE89" s="129" t="s">
        <v>915</v>
      </c>
      <c r="AF89" s="129" t="s">
        <v>915</v>
      </c>
      <c r="AG89" s="226" t="s">
        <v>916</v>
      </c>
      <c r="AH89" s="226"/>
      <c r="AI89" s="226"/>
      <c r="AJ89" s="226"/>
      <c r="AK89" s="226"/>
      <c r="AL89" s="129" t="s">
        <v>11</v>
      </c>
    </row>
    <row r="90" spans="1:38" ht="17.25" x14ac:dyDescent="0.25">
      <c r="A90" s="227">
        <v>7</v>
      </c>
      <c r="B90" s="219"/>
      <c r="C90" s="218">
        <v>15</v>
      </c>
      <c r="D90" s="219"/>
      <c r="E90" s="218">
        <v>9</v>
      </c>
      <c r="F90" s="219"/>
      <c r="G90" s="218">
        <v>8</v>
      </c>
      <c r="H90" s="219"/>
      <c r="I90" s="218">
        <v>7</v>
      </c>
      <c r="J90" s="219"/>
      <c r="K90" s="218">
        <v>8</v>
      </c>
      <c r="L90" s="219"/>
      <c r="N90" s="227">
        <v>10</v>
      </c>
      <c r="O90" s="219"/>
      <c r="P90" s="218">
        <v>10</v>
      </c>
      <c r="Q90" s="219"/>
      <c r="R90" s="218">
        <v>12</v>
      </c>
      <c r="S90" s="219"/>
      <c r="T90" s="218">
        <v>13</v>
      </c>
      <c r="U90" s="219"/>
      <c r="V90" s="218">
        <v>16</v>
      </c>
      <c r="W90" s="219"/>
      <c r="X90" s="218">
        <v>13</v>
      </c>
      <c r="Y90" s="219"/>
      <c r="AA90" s="227">
        <v>13</v>
      </c>
      <c r="AB90" s="219"/>
      <c r="AC90" s="218">
        <v>16</v>
      </c>
      <c r="AD90" s="219"/>
      <c r="AE90" s="218">
        <v>14</v>
      </c>
      <c r="AF90" s="219"/>
      <c r="AG90" s="218">
        <v>11</v>
      </c>
      <c r="AH90" s="219"/>
      <c r="AI90" s="218">
        <v>13</v>
      </c>
      <c r="AJ90" s="219"/>
      <c r="AK90" s="218">
        <v>11</v>
      </c>
      <c r="AL90" s="219"/>
    </row>
    <row r="91" spans="1:38" x14ac:dyDescent="0.25">
      <c r="A91" s="220">
        <f>IF(A90=0,"",IF(A90&gt;10,ROUNDDOWN((A90-10)/2,0),ROUNDUP((A90-10)/2,0)))</f>
        <v>-2</v>
      </c>
      <c r="B91" s="221"/>
      <c r="C91" s="222">
        <f>IF(C90=0,"",IF(C90&gt;10,ROUNDDOWN((C90-10)/2,0),ROUNDUP((C90-10)/2,0)))</f>
        <v>2</v>
      </c>
      <c r="D91" s="221"/>
      <c r="E91" s="222">
        <f>IF(E90=0,"",IF(E90&gt;10,ROUNDDOWN((E90-10)/2,0),ROUNDUP((E90-10)/2,0)))</f>
        <v>-1</v>
      </c>
      <c r="F91" s="221"/>
      <c r="G91" s="222">
        <f>IF(G90=0,"",IF(G90&gt;10,ROUNDDOWN((G90-10)/2,0),ROUNDUP((G90-10)/2,0)))</f>
        <v>-1</v>
      </c>
      <c r="H91" s="221"/>
      <c r="I91" s="222">
        <f>IF(I90=0,"",IF(I90&gt;10,ROUNDDOWN((I90-10)/2,0),ROUNDUP((I90-10)/2,0)))</f>
        <v>-2</v>
      </c>
      <c r="J91" s="221"/>
      <c r="K91" s="222">
        <f>IF(K90=0,"",IF(K90&gt;10,ROUNDDOWN((K90-10)/2,0),ROUNDUP((K90-10)/2,0)))</f>
        <v>-1</v>
      </c>
      <c r="L91" s="221"/>
      <c r="N91" s="220">
        <f>IF(N90=0,"",IF(N90&gt;10,ROUNDDOWN((N90-10)/2,0),ROUNDUP((N90-10)/2,0)))</f>
        <v>0</v>
      </c>
      <c r="O91" s="221"/>
      <c r="P91" s="222">
        <f>IF(P90=0,"",IF(P90&gt;10,ROUNDDOWN((P90-10)/2,0),ROUNDUP((P90-10)/2,0)))</f>
        <v>0</v>
      </c>
      <c r="Q91" s="221"/>
      <c r="R91" s="222">
        <f>IF(R90=0,"",IF(R90&gt;10,ROUNDDOWN((R90-10)/2,0),ROUNDUP((R90-10)/2,0)))</f>
        <v>1</v>
      </c>
      <c r="S91" s="221"/>
      <c r="T91" s="222">
        <f>IF(T90=0,"",IF(T90&gt;10,ROUNDDOWN((T90-10)/2,0),ROUNDUP((T90-10)/2,0)))</f>
        <v>1</v>
      </c>
      <c r="U91" s="221"/>
      <c r="V91" s="222">
        <f>IF(V90=0,"",IF(V90&gt;10,ROUNDDOWN((V90-10)/2,0),ROUNDUP((V90-10)/2,0)))</f>
        <v>3</v>
      </c>
      <c r="W91" s="221"/>
      <c r="X91" s="222">
        <f>IF(X90=0,"",IF(X90&gt;10,ROUNDDOWN((X90-10)/2,0),ROUNDUP((X90-10)/2,0)))</f>
        <v>1</v>
      </c>
      <c r="Y91" s="221"/>
      <c r="AA91" s="220">
        <f>IF(AA90=0,"",IF(AA90&gt;10,ROUNDDOWN((AA90-10)/2,0),ROUNDUP((AA90-10)/2,0)))</f>
        <v>1</v>
      </c>
      <c r="AB91" s="221"/>
      <c r="AC91" s="222">
        <f>IF(AC90=0,"",IF(AC90&gt;10,ROUNDDOWN((AC90-10)/2,0),ROUNDUP((AC90-10)/2,0)))</f>
        <v>3</v>
      </c>
      <c r="AD91" s="221"/>
      <c r="AE91" s="222">
        <f>IF(AE90=0,"",IF(AE90&gt;10,ROUNDDOWN((AE90-10)/2,0),ROUNDUP((AE90-10)/2,0)))</f>
        <v>2</v>
      </c>
      <c r="AF91" s="221"/>
      <c r="AG91" s="222">
        <f>IF(AG90=0,"",IF(AG90&gt;10,ROUNDDOWN((AG90-10)/2,0),ROUNDUP((AG90-10)/2,0)))</f>
        <v>0</v>
      </c>
      <c r="AH91" s="221"/>
      <c r="AI91" s="222">
        <f>IF(AI90=0,"",IF(AI90&gt;10,ROUNDDOWN((AI90-10)/2,0),ROUNDUP((AI90-10)/2,0)))</f>
        <v>1</v>
      </c>
      <c r="AJ91" s="221"/>
      <c r="AK91" s="222">
        <f>IF(AK90=0,"",IF(AK90&gt;10,ROUNDDOWN((AK90-10)/2,0),ROUNDUP((AK90-10)/2,0)))</f>
        <v>0</v>
      </c>
      <c r="AL91" s="221"/>
    </row>
    <row r="92" spans="1:38" x14ac:dyDescent="0.25">
      <c r="A92" s="220"/>
      <c r="B92" s="221"/>
      <c r="C92" s="222"/>
      <c r="D92" s="221"/>
      <c r="E92" s="222"/>
      <c r="F92" s="221"/>
      <c r="G92" s="222"/>
      <c r="H92" s="221"/>
      <c r="I92" s="222"/>
      <c r="J92" s="221"/>
      <c r="K92" s="222"/>
      <c r="L92" s="221"/>
      <c r="N92" s="220"/>
      <c r="O92" s="221"/>
      <c r="P92" s="222"/>
      <c r="Q92" s="221"/>
      <c r="R92" s="222"/>
      <c r="S92" s="221"/>
      <c r="T92" s="222"/>
      <c r="U92" s="221"/>
      <c r="V92" s="222"/>
      <c r="W92" s="221"/>
      <c r="X92" s="222"/>
      <c r="Y92" s="221"/>
      <c r="AA92" s="220"/>
      <c r="AB92" s="221"/>
      <c r="AC92" s="222"/>
      <c r="AD92" s="221"/>
      <c r="AE92" s="222"/>
      <c r="AF92" s="221"/>
      <c r="AG92" s="222"/>
      <c r="AH92" s="221"/>
      <c r="AI92" s="222"/>
      <c r="AJ92" s="221"/>
      <c r="AK92" s="222"/>
      <c r="AL92" s="221"/>
    </row>
    <row r="93" spans="1:38" ht="15.75" thickBot="1" x14ac:dyDescent="0.3">
      <c r="A93" s="215" t="s">
        <v>917</v>
      </c>
      <c r="B93" s="216"/>
      <c r="C93" s="217" t="s">
        <v>918</v>
      </c>
      <c r="D93" s="216"/>
      <c r="E93" s="217" t="s">
        <v>919</v>
      </c>
      <c r="F93" s="216"/>
      <c r="G93" s="217" t="s">
        <v>920</v>
      </c>
      <c r="H93" s="216"/>
      <c r="I93" s="217" t="s">
        <v>921</v>
      </c>
      <c r="J93" s="216"/>
      <c r="K93" s="217" t="s">
        <v>922</v>
      </c>
      <c r="L93" s="216"/>
      <c r="N93" s="215" t="s">
        <v>917</v>
      </c>
      <c r="O93" s="216"/>
      <c r="P93" s="217" t="s">
        <v>918</v>
      </c>
      <c r="Q93" s="216"/>
      <c r="R93" s="217" t="s">
        <v>919</v>
      </c>
      <c r="S93" s="216"/>
      <c r="T93" s="217" t="s">
        <v>920</v>
      </c>
      <c r="U93" s="216"/>
      <c r="V93" s="217" t="s">
        <v>921</v>
      </c>
      <c r="W93" s="216"/>
      <c r="X93" s="217" t="s">
        <v>922</v>
      </c>
      <c r="Y93" s="216"/>
      <c r="AA93" s="215" t="s">
        <v>917</v>
      </c>
      <c r="AB93" s="216"/>
      <c r="AC93" s="217" t="s">
        <v>918</v>
      </c>
      <c r="AD93" s="216"/>
      <c r="AE93" s="217" t="s">
        <v>919</v>
      </c>
      <c r="AF93" s="216"/>
      <c r="AG93" s="217" t="s">
        <v>920</v>
      </c>
      <c r="AH93" s="216"/>
      <c r="AI93" s="217" t="s">
        <v>921</v>
      </c>
      <c r="AJ93" s="216"/>
      <c r="AK93" s="217" t="s">
        <v>922</v>
      </c>
      <c r="AL93" s="216"/>
    </row>
    <row r="94" spans="1:38" ht="15.75" thickBot="1" x14ac:dyDescent="0.3">
      <c r="A94" s="180" t="s">
        <v>923</v>
      </c>
      <c r="B94" s="181"/>
      <c r="C94" s="181"/>
      <c r="D94" s="181"/>
      <c r="E94" s="181"/>
      <c r="F94" s="182"/>
      <c r="G94" s="180" t="s">
        <v>924</v>
      </c>
      <c r="H94" s="181"/>
      <c r="I94" s="181"/>
      <c r="J94" s="181"/>
      <c r="K94" s="181"/>
      <c r="L94" s="182"/>
      <c r="N94" s="180" t="s">
        <v>923</v>
      </c>
      <c r="O94" s="181"/>
      <c r="P94" s="181"/>
      <c r="Q94" s="181"/>
      <c r="R94" s="181"/>
      <c r="S94" s="182"/>
      <c r="T94" s="180" t="s">
        <v>924</v>
      </c>
      <c r="U94" s="181"/>
      <c r="V94" s="181"/>
      <c r="W94" s="181"/>
      <c r="X94" s="181"/>
      <c r="Y94" s="182"/>
      <c r="AA94" s="180" t="s">
        <v>923</v>
      </c>
      <c r="AB94" s="181"/>
      <c r="AC94" s="181"/>
      <c r="AD94" s="181"/>
      <c r="AE94" s="181"/>
      <c r="AF94" s="182"/>
      <c r="AG94" s="180" t="s">
        <v>924</v>
      </c>
      <c r="AH94" s="181"/>
      <c r="AI94" s="181"/>
      <c r="AJ94" s="181"/>
      <c r="AK94" s="181"/>
      <c r="AL94" s="182"/>
    </row>
    <row r="95" spans="1:38" ht="16.5" x14ac:dyDescent="0.3">
      <c r="A95" s="131" t="s">
        <v>917</v>
      </c>
      <c r="B95" s="132">
        <f>IFERROR(IF(C95="prof",A91+A84,A91),"")</f>
        <v>-2</v>
      </c>
      <c r="C95" s="133" t="s">
        <v>925</v>
      </c>
      <c r="D95" s="134" t="s">
        <v>920</v>
      </c>
      <c r="E95" s="135">
        <f>IFERROR(IF(F95="prof",G91+A84,G91),"")</f>
        <v>-1</v>
      </c>
      <c r="F95" s="136" t="s">
        <v>925</v>
      </c>
      <c r="G95" s="207" t="s">
        <v>926</v>
      </c>
      <c r="H95" s="208"/>
      <c r="I95" s="208"/>
      <c r="J95" s="211">
        <f>IFERROR(IF(L95="prof",I91+A84+10,I91+10),"")</f>
        <v>8</v>
      </c>
      <c r="K95" s="211"/>
      <c r="L95" s="213" t="s">
        <v>925</v>
      </c>
      <c r="N95" s="131" t="s">
        <v>917</v>
      </c>
      <c r="O95" s="132">
        <f>IFERROR(IF(P95="prof",N91+N84,N91),"")</f>
        <v>0</v>
      </c>
      <c r="P95" s="133" t="s">
        <v>925</v>
      </c>
      <c r="Q95" s="134" t="s">
        <v>920</v>
      </c>
      <c r="R95" s="135">
        <f>IFERROR(IF(S95="prof",T91+N84,T91),"")</f>
        <v>1</v>
      </c>
      <c r="S95" s="136" t="s">
        <v>925</v>
      </c>
      <c r="T95" s="207" t="s">
        <v>926</v>
      </c>
      <c r="U95" s="208"/>
      <c r="V95" s="208"/>
      <c r="W95" s="211">
        <f>IFERROR(IF(Y95="prof",V91+N84+10,V91+10),"")</f>
        <v>13</v>
      </c>
      <c r="X95" s="211"/>
      <c r="Y95" s="213" t="s">
        <v>925</v>
      </c>
      <c r="AA95" s="131" t="s">
        <v>917</v>
      </c>
      <c r="AB95" s="132">
        <f>IFERROR(IF(AC95="prof",AA91+AA84,AA91),"")</f>
        <v>1</v>
      </c>
      <c r="AC95" s="133" t="s">
        <v>925</v>
      </c>
      <c r="AD95" s="134" t="s">
        <v>920</v>
      </c>
      <c r="AE95" s="135">
        <f>IFERROR(IF(AF95="prof",AG91+AA84,AG91),"")</f>
        <v>0</v>
      </c>
      <c r="AF95" s="136" t="s">
        <v>925</v>
      </c>
      <c r="AG95" s="207" t="s">
        <v>926</v>
      </c>
      <c r="AH95" s="208"/>
      <c r="AI95" s="208"/>
      <c r="AJ95" s="211">
        <f>IFERROR(IF(AL95="prof",AI91+AA84+10,AI91+10),"")</f>
        <v>13</v>
      </c>
      <c r="AK95" s="211"/>
      <c r="AL95" s="213" t="s">
        <v>932</v>
      </c>
    </row>
    <row r="96" spans="1:38" ht="16.5" x14ac:dyDescent="0.3">
      <c r="A96" s="134" t="s">
        <v>918</v>
      </c>
      <c r="B96" s="135">
        <f>IFERROR(IF(C96="prof",C91+A84,C91),"")</f>
        <v>2</v>
      </c>
      <c r="C96" s="137" t="s">
        <v>925</v>
      </c>
      <c r="D96" s="134" t="s">
        <v>921</v>
      </c>
      <c r="E96" s="135">
        <f>IFERROR(IF(F96="prof",I91+A84,I91),"")</f>
        <v>-2</v>
      </c>
      <c r="F96" s="137" t="s">
        <v>925</v>
      </c>
      <c r="G96" s="209"/>
      <c r="H96" s="210"/>
      <c r="I96" s="210"/>
      <c r="J96" s="212"/>
      <c r="K96" s="212"/>
      <c r="L96" s="214"/>
      <c r="N96" s="134" t="s">
        <v>918</v>
      </c>
      <c r="O96" s="135">
        <f>IFERROR(IF(P96="prof",P91+N84,P91),"")</f>
        <v>0</v>
      </c>
      <c r="P96" s="137" t="s">
        <v>925</v>
      </c>
      <c r="Q96" s="134" t="s">
        <v>921</v>
      </c>
      <c r="R96" s="135">
        <f>IFERROR(IF(S96="prof",V91+N84,V91),"")</f>
        <v>3</v>
      </c>
      <c r="S96" s="137" t="s">
        <v>925</v>
      </c>
      <c r="T96" s="209"/>
      <c r="U96" s="210"/>
      <c r="V96" s="210"/>
      <c r="W96" s="212"/>
      <c r="X96" s="212"/>
      <c r="Y96" s="214"/>
      <c r="AA96" s="134" t="s">
        <v>918</v>
      </c>
      <c r="AB96" s="135">
        <f>IFERROR(IF(AC96="prof",AC91+AA84,AC91),"")</f>
        <v>3</v>
      </c>
      <c r="AC96" s="137" t="s">
        <v>925</v>
      </c>
      <c r="AD96" s="134" t="s">
        <v>921</v>
      </c>
      <c r="AE96" s="135">
        <f>IFERROR(IF(AF96="prof",AI91+AA84,AI91),"")</f>
        <v>1</v>
      </c>
      <c r="AF96" s="137" t="s">
        <v>925</v>
      </c>
      <c r="AG96" s="209"/>
      <c r="AH96" s="210"/>
      <c r="AI96" s="210"/>
      <c r="AJ96" s="212"/>
      <c r="AK96" s="212"/>
      <c r="AL96" s="214"/>
    </row>
    <row r="97" spans="1:38" ht="17.25" thickBot="1" x14ac:dyDescent="0.35">
      <c r="A97" s="134" t="s">
        <v>919</v>
      </c>
      <c r="B97" s="135">
        <f>IFERROR(IF(C97="prof",E91+A84,E91),"")</f>
        <v>-1</v>
      </c>
      <c r="C97" s="137" t="s">
        <v>925</v>
      </c>
      <c r="D97" s="134" t="s">
        <v>927</v>
      </c>
      <c r="E97" s="135">
        <f>IFERROR(IF(F97="prof",K91+A84,K91),"")</f>
        <v>-1</v>
      </c>
      <c r="F97" s="136" t="s">
        <v>925</v>
      </c>
      <c r="G97" s="199" t="s">
        <v>983</v>
      </c>
      <c r="H97" s="186"/>
      <c r="I97" s="138">
        <v>60</v>
      </c>
      <c r="J97" s="199" t="s">
        <v>915</v>
      </c>
      <c r="K97" s="186"/>
      <c r="L97" s="139">
        <v>0</v>
      </c>
      <c r="N97" s="134" t="s">
        <v>919</v>
      </c>
      <c r="O97" s="135">
        <f>IFERROR(IF(P97="prof",R91+N84,R91),"")</f>
        <v>1</v>
      </c>
      <c r="P97" s="137" t="s">
        <v>925</v>
      </c>
      <c r="Q97" s="134" t="s">
        <v>927</v>
      </c>
      <c r="R97" s="135">
        <f>IFERROR(IF(S97="prof",X91+N84,X91),"")</f>
        <v>1</v>
      </c>
      <c r="S97" s="136" t="s">
        <v>925</v>
      </c>
      <c r="T97" s="199" t="s">
        <v>915</v>
      </c>
      <c r="U97" s="186"/>
      <c r="V97" s="138">
        <v>0</v>
      </c>
      <c r="W97" s="199" t="s">
        <v>915</v>
      </c>
      <c r="X97" s="186"/>
      <c r="Y97" s="139">
        <v>0</v>
      </c>
      <c r="AA97" s="134" t="s">
        <v>919</v>
      </c>
      <c r="AB97" s="135">
        <f>IFERROR(IF(AC97="prof",AE91+AA84,AE91),"")</f>
        <v>2</v>
      </c>
      <c r="AC97" s="137" t="s">
        <v>925</v>
      </c>
      <c r="AD97" s="134" t="s">
        <v>927</v>
      </c>
      <c r="AE97" s="135">
        <f>IFERROR(IF(AF97="prof",AK91+AA84,AK91),"")</f>
        <v>0</v>
      </c>
      <c r="AF97" s="136" t="s">
        <v>925</v>
      </c>
      <c r="AG97" s="199" t="s">
        <v>915</v>
      </c>
      <c r="AH97" s="186"/>
      <c r="AI97" s="138">
        <v>0</v>
      </c>
      <c r="AJ97" s="199" t="s">
        <v>915</v>
      </c>
      <c r="AK97" s="186"/>
      <c r="AL97" s="139">
        <v>0</v>
      </c>
    </row>
    <row r="98" spans="1:38" ht="15.75" thickBot="1" x14ac:dyDescent="0.3">
      <c r="A98" s="180" t="s">
        <v>928</v>
      </c>
      <c r="B98" s="181"/>
      <c r="C98" s="181"/>
      <c r="D98" s="181"/>
      <c r="E98" s="181"/>
      <c r="F98" s="182"/>
      <c r="G98" s="180" t="s">
        <v>929</v>
      </c>
      <c r="H98" s="181"/>
      <c r="I98" s="181"/>
      <c r="J98" s="181"/>
      <c r="K98" s="181"/>
      <c r="L98" s="182"/>
      <c r="N98" s="180" t="s">
        <v>928</v>
      </c>
      <c r="O98" s="181"/>
      <c r="P98" s="181"/>
      <c r="Q98" s="181"/>
      <c r="R98" s="181"/>
      <c r="S98" s="182"/>
      <c r="T98" s="180" t="s">
        <v>929</v>
      </c>
      <c r="U98" s="181"/>
      <c r="V98" s="181"/>
      <c r="W98" s="181"/>
      <c r="X98" s="181"/>
      <c r="Y98" s="182"/>
      <c r="AA98" s="180" t="s">
        <v>928</v>
      </c>
      <c r="AB98" s="181"/>
      <c r="AC98" s="181"/>
      <c r="AD98" s="181"/>
      <c r="AE98" s="181"/>
      <c r="AF98" s="182"/>
      <c r="AG98" s="180" t="s">
        <v>929</v>
      </c>
      <c r="AH98" s="181"/>
      <c r="AI98" s="181"/>
      <c r="AJ98" s="181"/>
      <c r="AK98" s="181"/>
      <c r="AL98" s="182"/>
    </row>
    <row r="99" spans="1:38" ht="16.5" x14ac:dyDescent="0.3">
      <c r="A99" s="240" t="s">
        <v>915</v>
      </c>
      <c r="B99" s="241"/>
      <c r="C99" s="185"/>
      <c r="D99" s="140" t="s">
        <v>938</v>
      </c>
      <c r="E99" s="140">
        <f>IF(F99="expert",2,IF(F99="prof",1,0))*A84+VALUE(IF(D99="Str",A91,IF(D99="Dex",C91,IF(D99="Con",E91,IF(D99="Int",G91,IF(D99="Wis",I91,IF(D99="Cha",K91,"")))))))</f>
        <v>-2</v>
      </c>
      <c r="F99" s="141" t="s">
        <v>915</v>
      </c>
      <c r="G99" s="205"/>
      <c r="H99" s="206"/>
      <c r="I99" s="142"/>
      <c r="J99" s="206"/>
      <c r="K99" s="206"/>
      <c r="L99" s="143"/>
      <c r="N99" s="240" t="s">
        <v>930</v>
      </c>
      <c r="O99" s="241"/>
      <c r="P99" s="185"/>
      <c r="Q99" s="140" t="s">
        <v>938</v>
      </c>
      <c r="R99" s="140">
        <f>IF(S99="expert",2,IF(S99="prof",1,0))*N84+VALUE(IF(Q99="Str",N91,IF(Q99="Dex",P91,IF(Q99="Con",R91,IF(Q99="Int",T91,IF(Q99="Wis",V91,IF(Q99="Cha",X91,"")))))))</f>
        <v>5</v>
      </c>
      <c r="S99" s="141" t="s">
        <v>932</v>
      </c>
      <c r="T99" s="205"/>
      <c r="U99" s="206"/>
      <c r="V99" s="142"/>
      <c r="W99" s="206"/>
      <c r="X99" s="206"/>
      <c r="Y99" s="143"/>
      <c r="AA99" s="240" t="s">
        <v>984</v>
      </c>
      <c r="AB99" s="241"/>
      <c r="AC99" s="185"/>
      <c r="AD99" s="140" t="s">
        <v>937</v>
      </c>
      <c r="AE99" s="140">
        <f>IF(AF99="expert",2,IF(AF99="prof",1,0))*AA84+VALUE(IF(AD99="Str",AA91,IF(AD99="Dex",AC91,IF(AD99="Con",AE91,IF(AD99="Int",AG91,IF(AD99="Wis",AI91,IF(AD99="Cha",AK91,"")))))))</f>
        <v>2</v>
      </c>
      <c r="AF99" s="141" t="s">
        <v>932</v>
      </c>
      <c r="AG99" s="205"/>
      <c r="AH99" s="206"/>
      <c r="AI99" s="142"/>
      <c r="AJ99" s="206"/>
      <c r="AK99" s="206"/>
      <c r="AL99" s="143"/>
    </row>
    <row r="100" spans="1:38" ht="16.5" x14ac:dyDescent="0.3">
      <c r="A100" s="240" t="s">
        <v>915</v>
      </c>
      <c r="B100" s="241"/>
      <c r="C100" s="185"/>
      <c r="D100" s="140" t="s">
        <v>937</v>
      </c>
      <c r="E100" s="140">
        <f>IF(F100="expert",2,IF(F100="prof",1,0))*A84+VALUE(IF(D100="Str",A91,IF(D100="Dex",C91,IF(D100="Con",E91,IF(D100="Int",G91,IF(D100="Wis",I91,IF(D100="Cha",K91,"")))))))</f>
        <v>1</v>
      </c>
      <c r="F100" s="141" t="s">
        <v>932</v>
      </c>
      <c r="G100" s="199"/>
      <c r="H100" s="186"/>
      <c r="I100" s="137"/>
      <c r="J100" s="186"/>
      <c r="K100" s="186"/>
      <c r="L100" s="141"/>
      <c r="N100" s="240" t="s">
        <v>985</v>
      </c>
      <c r="O100" s="241"/>
      <c r="P100" s="185"/>
      <c r="Q100" s="140" t="s">
        <v>927</v>
      </c>
      <c r="R100" s="140">
        <f>IF(S100="expert",2,IF(S100="prof",1,0))*N84+VALUE(IF(Q100="Str",N91,IF(Q100="Dex",P91,IF(Q100="Con",R91,IF(Q100="Int",T91,IF(Q100="Wis",V91,IF(Q100="Cha",X91,"")))))))</f>
        <v>3</v>
      </c>
      <c r="S100" s="141" t="s">
        <v>932</v>
      </c>
      <c r="T100" s="199"/>
      <c r="U100" s="186"/>
      <c r="V100" s="137"/>
      <c r="W100" s="186"/>
      <c r="X100" s="186"/>
      <c r="Y100" s="141"/>
      <c r="AA100" s="240" t="s">
        <v>969</v>
      </c>
      <c r="AB100" s="241"/>
      <c r="AC100" s="185"/>
      <c r="AD100" s="140" t="s">
        <v>938</v>
      </c>
      <c r="AE100" s="140">
        <f>IF(AF100="expert",2,IF(AF100="prof",1,0))*AA84+VALUE(IF(AD100="Str",AA91,IF(AD100="Dex",AC91,IF(AD100="Con",AE91,IF(AD100="Int",AG91,IF(AD100="Wis",AI91,IF(AD100="Cha",AK91,"")))))))</f>
        <v>3</v>
      </c>
      <c r="AF100" s="141" t="s">
        <v>932</v>
      </c>
      <c r="AG100" s="199"/>
      <c r="AH100" s="186"/>
      <c r="AI100" s="137"/>
      <c r="AJ100" s="186"/>
      <c r="AK100" s="186"/>
      <c r="AL100" s="141"/>
    </row>
    <row r="101" spans="1:38" ht="16.5" x14ac:dyDescent="0.3">
      <c r="A101" s="240" t="s">
        <v>915</v>
      </c>
      <c r="B101" s="241"/>
      <c r="C101" s="185"/>
      <c r="D101" s="140" t="s">
        <v>935</v>
      </c>
      <c r="E101" s="140">
        <f>IF(F101="expert",2,IF(F101="prof",1,0))*A84+VALUE(IF(D101="Str",A91,IF(D101="Dex",C91,IF(D101="Con",E91,IF(D101="Int",G91,IF(D101="Wis",I91,IF(D101="Cha",K91,"")))))))</f>
        <v>-1</v>
      </c>
      <c r="F101" s="141" t="s">
        <v>915</v>
      </c>
      <c r="G101" s="199"/>
      <c r="H101" s="186"/>
      <c r="I101" s="137"/>
      <c r="J101" s="186"/>
      <c r="K101" s="186"/>
      <c r="L101" s="141"/>
      <c r="N101" s="240" t="s">
        <v>933</v>
      </c>
      <c r="O101" s="241"/>
      <c r="P101" s="185"/>
      <c r="Q101" s="140" t="s">
        <v>937</v>
      </c>
      <c r="R101" s="140">
        <f>IF(S101="expert",2,IF(S101="prof",1,0))*N84+VALUE(IF(Q101="Str",N91,IF(Q101="Dex",P91,IF(Q101="Con",R91,IF(Q101="Int",T91,IF(Q101="Wis",V91,IF(Q101="Cha",X91,"")))))))</f>
        <v>3</v>
      </c>
      <c r="S101" s="141" t="s">
        <v>932</v>
      </c>
      <c r="T101" s="199"/>
      <c r="U101" s="186"/>
      <c r="V101" s="137"/>
      <c r="W101" s="186"/>
      <c r="X101" s="186"/>
      <c r="Y101" s="141"/>
      <c r="AA101" s="240" t="s">
        <v>986</v>
      </c>
      <c r="AB101" s="241"/>
      <c r="AC101" s="185"/>
      <c r="AD101" s="140" t="s">
        <v>934</v>
      </c>
      <c r="AE101" s="140">
        <f>IF(AF101="expert",2,IF(AF101="prof",1,0))*AA84+VALUE(IF(AD101="Str",AA91,IF(AD101="Dex",AC91,IF(AD101="Con",AE91,IF(AD101="Int",AG91,IF(AD101="Wis",AI91,IF(AD101="Cha",AK91,"")))))))</f>
        <v>5</v>
      </c>
      <c r="AF101" s="141" t="s">
        <v>932</v>
      </c>
      <c r="AG101" s="199"/>
      <c r="AH101" s="186"/>
      <c r="AI101" s="137"/>
      <c r="AJ101" s="186"/>
      <c r="AK101" s="186"/>
      <c r="AL101" s="141"/>
    </row>
    <row r="102" spans="1:38" ht="16.5" x14ac:dyDescent="0.3">
      <c r="A102" s="240" t="s">
        <v>915</v>
      </c>
      <c r="B102" s="241"/>
      <c r="C102" s="185"/>
      <c r="D102" s="140" t="s">
        <v>937</v>
      </c>
      <c r="E102" s="140">
        <f>IF(F102="expert",2,IF(F102="prof",1,0))*A84+VALUE(IF(D102="Str",A91,IF(D102="Dex",C91,IF(D102="Con",E91,IF(D102="Int",G91,IF(D102="Wis",I91,IF(D102="Cha",K91,"")))))))</f>
        <v>-1</v>
      </c>
      <c r="F102" s="141" t="s">
        <v>915</v>
      </c>
      <c r="G102" s="199"/>
      <c r="H102" s="186"/>
      <c r="I102" s="137"/>
      <c r="J102" s="186"/>
      <c r="K102" s="186"/>
      <c r="L102" s="141"/>
      <c r="N102" s="240" t="s">
        <v>915</v>
      </c>
      <c r="O102" s="241"/>
      <c r="P102" s="185"/>
      <c r="Q102" s="140" t="s">
        <v>937</v>
      </c>
      <c r="R102" s="140">
        <f>IF(S102="expert",2,IF(S102="prof",1,0))*N84+VALUE(IF(Q102="Str",N91,IF(Q102="Dex",P91,IF(Q102="Con",R91,IF(Q102="Int",T91,IF(Q102="Wis",V91,IF(Q102="Cha",X91,"")))))))</f>
        <v>1</v>
      </c>
      <c r="S102" s="141" t="s">
        <v>915</v>
      </c>
      <c r="T102" s="199"/>
      <c r="U102" s="186"/>
      <c r="V102" s="137"/>
      <c r="W102" s="186"/>
      <c r="X102" s="186"/>
      <c r="Y102" s="141"/>
      <c r="AA102" s="240" t="s">
        <v>987</v>
      </c>
      <c r="AB102" s="241"/>
      <c r="AC102" s="185"/>
      <c r="AD102" s="140" t="s">
        <v>938</v>
      </c>
      <c r="AE102" s="140">
        <f>IF(AF102="expert",2,IF(AF102="prof",1,0))*AA84+VALUE(IF(AD102="Str",AA91,IF(AD102="Dex",AC91,IF(AD102="Con",AE91,IF(AD102="Int",AG91,IF(AD102="Wis",AI91,IF(AD102="Cha",AK91,"")))))))</f>
        <v>3</v>
      </c>
      <c r="AF102" s="141" t="s">
        <v>932</v>
      </c>
      <c r="AG102" s="199"/>
      <c r="AH102" s="186"/>
      <c r="AI102" s="137"/>
      <c r="AJ102" s="186"/>
      <c r="AK102" s="186"/>
      <c r="AL102" s="141"/>
    </row>
    <row r="103" spans="1:38" ht="17.25" thickBot="1" x14ac:dyDescent="0.35">
      <c r="A103" s="240" t="s">
        <v>915</v>
      </c>
      <c r="B103" s="241"/>
      <c r="C103" s="185"/>
      <c r="D103" s="144" t="s">
        <v>938</v>
      </c>
      <c r="E103" s="144">
        <f>IF(F103="expert",2,IF(F103="prof",1,0))*A84+VALUE(IF(D103="Str",A91,IF(D103="Dex",C91,IF(D103="Con",E91,IF(D103="Int",G91,IF(D103="Wis",I91,IF(D103="Cha",K91,"")))))))</f>
        <v>-2</v>
      </c>
      <c r="F103" s="145" t="s">
        <v>915</v>
      </c>
      <c r="G103" s="199"/>
      <c r="H103" s="186"/>
      <c r="I103" s="137"/>
      <c r="J103" s="186"/>
      <c r="K103" s="186"/>
      <c r="L103" s="141"/>
      <c r="N103" s="240" t="s">
        <v>915</v>
      </c>
      <c r="O103" s="241"/>
      <c r="P103" s="185"/>
      <c r="Q103" s="144" t="s">
        <v>938</v>
      </c>
      <c r="R103" s="144">
        <f>IF(S103="expert",2,IF(S103="prof",1,0))*N84+VALUE(IF(Q103="Str",N91,IF(Q103="Dex",P91,IF(Q103="Con",R91,IF(Q103="Int",T91,IF(Q103="Wis",V91,IF(Q103="Cha",X91,"")))))))</f>
        <v>3</v>
      </c>
      <c r="S103" s="145" t="s">
        <v>915</v>
      </c>
      <c r="T103" s="199"/>
      <c r="U103" s="186"/>
      <c r="V103" s="137"/>
      <c r="W103" s="186"/>
      <c r="X103" s="186"/>
      <c r="Y103" s="141"/>
      <c r="AA103" s="240" t="s">
        <v>915</v>
      </c>
      <c r="AB103" s="241"/>
      <c r="AC103" s="185"/>
      <c r="AD103" s="144" t="s">
        <v>938</v>
      </c>
      <c r="AE103" s="144">
        <f>IF(AF103="expert",2,IF(AF103="prof",1,0))*AA84+VALUE(IF(AD103="Str",AA91,IF(AD103="Dex",AC91,IF(AD103="Con",AE91,IF(AD103="Int",AG91,IF(AD103="Wis",AI91,IF(AD103="Cha",AK91,"")))))))</f>
        <v>1</v>
      </c>
      <c r="AF103" s="145" t="s">
        <v>915</v>
      </c>
      <c r="AG103" s="199"/>
      <c r="AH103" s="186"/>
      <c r="AI103" s="137"/>
      <c r="AJ103" s="186"/>
      <c r="AK103" s="186"/>
      <c r="AL103" s="141"/>
    </row>
    <row r="104" spans="1:38" ht="17.25" thickBot="1" x14ac:dyDescent="0.35">
      <c r="A104" s="200" t="s">
        <v>939</v>
      </c>
      <c r="B104" s="201"/>
      <c r="C104" s="201"/>
      <c r="D104" s="202"/>
      <c r="E104" s="203" t="s">
        <v>940</v>
      </c>
      <c r="F104" s="204"/>
      <c r="G104" s="185"/>
      <c r="H104" s="186"/>
      <c r="I104" s="137"/>
      <c r="J104" s="186"/>
      <c r="K104" s="186"/>
      <c r="L104" s="141"/>
      <c r="N104" s="200" t="s">
        <v>939</v>
      </c>
      <c r="O104" s="201"/>
      <c r="P104" s="201"/>
      <c r="Q104" s="202"/>
      <c r="R104" s="203" t="s">
        <v>940</v>
      </c>
      <c r="S104" s="204"/>
      <c r="T104" s="185"/>
      <c r="U104" s="186"/>
      <c r="V104" s="137"/>
      <c r="W104" s="186"/>
      <c r="X104" s="186"/>
      <c r="Y104" s="141"/>
      <c r="AA104" s="200" t="s">
        <v>939</v>
      </c>
      <c r="AB104" s="201"/>
      <c r="AC104" s="201"/>
      <c r="AD104" s="202"/>
      <c r="AE104" s="203" t="s">
        <v>940</v>
      </c>
      <c r="AF104" s="204"/>
      <c r="AG104" s="185"/>
      <c r="AH104" s="186"/>
      <c r="AI104" s="137"/>
      <c r="AJ104" s="186"/>
      <c r="AK104" s="186"/>
      <c r="AL104" s="141"/>
    </row>
    <row r="105" spans="1:38" ht="16.5" x14ac:dyDescent="0.3">
      <c r="A105" s="190" t="s">
        <v>988</v>
      </c>
      <c r="B105" s="191"/>
      <c r="C105" s="191"/>
      <c r="D105" s="191"/>
      <c r="E105" s="186"/>
      <c r="F105" s="192"/>
      <c r="G105" s="185"/>
      <c r="H105" s="186"/>
      <c r="I105" s="137"/>
      <c r="J105" s="186"/>
      <c r="K105" s="186"/>
      <c r="L105" s="141"/>
      <c r="N105" s="190" t="s">
        <v>988</v>
      </c>
      <c r="O105" s="191"/>
      <c r="P105" s="191"/>
      <c r="Q105" s="191"/>
      <c r="R105" s="186"/>
      <c r="S105" s="192"/>
      <c r="T105" s="185"/>
      <c r="U105" s="186"/>
      <c r="V105" s="137"/>
      <c r="W105" s="186"/>
      <c r="X105" s="186"/>
      <c r="Y105" s="141"/>
      <c r="AA105" s="190"/>
      <c r="AB105" s="191"/>
      <c r="AC105" s="191"/>
      <c r="AD105" s="191"/>
      <c r="AE105" s="186"/>
      <c r="AF105" s="192"/>
      <c r="AG105" s="185"/>
      <c r="AH105" s="186"/>
      <c r="AI105" s="137"/>
      <c r="AJ105" s="186"/>
      <c r="AK105" s="186"/>
      <c r="AL105" s="141"/>
    </row>
    <row r="106" spans="1:38" ht="17.25" thickBot="1" x14ac:dyDescent="0.35">
      <c r="A106" s="193"/>
      <c r="B106" s="194"/>
      <c r="C106" s="194"/>
      <c r="D106" s="194"/>
      <c r="E106" s="194"/>
      <c r="F106" s="195"/>
      <c r="G106" s="196"/>
      <c r="H106" s="194"/>
      <c r="I106" s="146"/>
      <c r="J106" s="194"/>
      <c r="K106" s="194"/>
      <c r="L106" s="147"/>
      <c r="N106" s="193"/>
      <c r="O106" s="194"/>
      <c r="P106" s="194"/>
      <c r="Q106" s="194"/>
      <c r="R106" s="194"/>
      <c r="S106" s="195"/>
      <c r="T106" s="196"/>
      <c r="U106" s="194"/>
      <c r="V106" s="146"/>
      <c r="W106" s="194"/>
      <c r="X106" s="194"/>
      <c r="Y106" s="147"/>
      <c r="AA106" s="193"/>
      <c r="AB106" s="194"/>
      <c r="AC106" s="194"/>
      <c r="AD106" s="194"/>
      <c r="AE106" s="194"/>
      <c r="AF106" s="195"/>
      <c r="AG106" s="196"/>
      <c r="AH106" s="194"/>
      <c r="AI106" s="146"/>
      <c r="AJ106" s="194"/>
      <c r="AK106" s="194"/>
      <c r="AL106" s="147"/>
    </row>
    <row r="107" spans="1:38" ht="15.75" thickBot="1" x14ac:dyDescent="0.3">
      <c r="A107" s="177" t="s">
        <v>941</v>
      </c>
      <c r="B107" s="178"/>
      <c r="C107" s="178"/>
      <c r="D107" s="178"/>
      <c r="E107" s="178"/>
      <c r="F107" s="179"/>
      <c r="G107" s="180" t="s">
        <v>942</v>
      </c>
      <c r="H107" s="181"/>
      <c r="I107" s="181"/>
      <c r="J107" s="181"/>
      <c r="K107" s="181"/>
      <c r="L107" s="182"/>
      <c r="N107" s="177" t="s">
        <v>941</v>
      </c>
      <c r="O107" s="178"/>
      <c r="P107" s="178"/>
      <c r="Q107" s="178"/>
      <c r="R107" s="178"/>
      <c r="S107" s="179"/>
      <c r="T107" s="180" t="s">
        <v>942</v>
      </c>
      <c r="U107" s="181"/>
      <c r="V107" s="181"/>
      <c r="W107" s="181"/>
      <c r="X107" s="181"/>
      <c r="Y107" s="182"/>
      <c r="AA107" s="177" t="s">
        <v>941</v>
      </c>
      <c r="AB107" s="178"/>
      <c r="AC107" s="178"/>
      <c r="AD107" s="178"/>
      <c r="AE107" s="178"/>
      <c r="AF107" s="179"/>
      <c r="AG107" s="180" t="s">
        <v>942</v>
      </c>
      <c r="AH107" s="181"/>
      <c r="AI107" s="181"/>
      <c r="AJ107" s="181"/>
      <c r="AK107" s="181"/>
      <c r="AL107" s="182"/>
    </row>
    <row r="108" spans="1:38" x14ac:dyDescent="0.25">
      <c r="A108" s="183" t="s">
        <v>943</v>
      </c>
      <c r="B108" s="183"/>
      <c r="C108" s="148" t="s">
        <v>944</v>
      </c>
      <c r="D108" s="149" t="s">
        <v>945</v>
      </c>
      <c r="E108" s="149" t="s">
        <v>946</v>
      </c>
      <c r="F108" s="150" t="s">
        <v>947</v>
      </c>
      <c r="G108" s="168"/>
      <c r="H108" s="169"/>
      <c r="I108" s="169"/>
      <c r="J108" s="169"/>
      <c r="K108" s="169"/>
      <c r="L108" s="170"/>
      <c r="N108" s="183" t="s">
        <v>943</v>
      </c>
      <c r="O108" s="183"/>
      <c r="P108" s="148" t="s">
        <v>944</v>
      </c>
      <c r="Q108" s="149" t="s">
        <v>945</v>
      </c>
      <c r="R108" s="149" t="s">
        <v>946</v>
      </c>
      <c r="S108" s="150" t="s">
        <v>947</v>
      </c>
      <c r="T108" s="168" t="s">
        <v>989</v>
      </c>
      <c r="U108" s="169"/>
      <c r="V108" s="169"/>
      <c r="W108" s="169"/>
      <c r="X108" s="169"/>
      <c r="Y108" s="170"/>
      <c r="AA108" s="183" t="s">
        <v>943</v>
      </c>
      <c r="AB108" s="183"/>
      <c r="AC108" s="148" t="s">
        <v>944</v>
      </c>
      <c r="AD108" s="149" t="s">
        <v>945</v>
      </c>
      <c r="AE108" s="149" t="s">
        <v>946</v>
      </c>
      <c r="AF108" s="150" t="s">
        <v>947</v>
      </c>
      <c r="AG108" s="168"/>
      <c r="AH108" s="169"/>
      <c r="AI108" s="169"/>
      <c r="AJ108" s="169"/>
      <c r="AK108" s="169"/>
      <c r="AL108" s="170"/>
    </row>
    <row r="109" spans="1:38" x14ac:dyDescent="0.25">
      <c r="A109" s="186" t="s">
        <v>990</v>
      </c>
      <c r="B109" s="186"/>
      <c r="C109" s="140">
        <v>1</v>
      </c>
      <c r="D109" s="1" t="s">
        <v>950</v>
      </c>
      <c r="E109" s="151">
        <v>4</v>
      </c>
      <c r="F109" s="65" t="s">
        <v>991</v>
      </c>
      <c r="G109" s="171"/>
      <c r="H109" s="172"/>
      <c r="I109" s="172"/>
      <c r="J109" s="172"/>
      <c r="K109" s="172"/>
      <c r="L109" s="173"/>
      <c r="N109" s="186" t="s">
        <v>971</v>
      </c>
      <c r="O109" s="186"/>
      <c r="P109" s="140">
        <v>2</v>
      </c>
      <c r="Q109" s="1" t="s">
        <v>950</v>
      </c>
      <c r="R109" s="151">
        <v>5</v>
      </c>
      <c r="S109" s="65" t="s">
        <v>972</v>
      </c>
      <c r="T109" s="171"/>
      <c r="U109" s="172"/>
      <c r="V109" s="172"/>
      <c r="W109" s="172"/>
      <c r="X109" s="172"/>
      <c r="Y109" s="173"/>
      <c r="AA109" s="186" t="s">
        <v>992</v>
      </c>
      <c r="AB109" s="186"/>
      <c r="AC109" s="140">
        <v>2</v>
      </c>
      <c r="AD109" s="1" t="s">
        <v>950</v>
      </c>
      <c r="AE109" s="151">
        <v>5</v>
      </c>
      <c r="AF109" s="65" t="s">
        <v>993</v>
      </c>
      <c r="AG109" s="171"/>
      <c r="AH109" s="172"/>
      <c r="AI109" s="172"/>
      <c r="AJ109" s="172"/>
      <c r="AK109" s="172"/>
      <c r="AL109" s="173"/>
    </row>
    <row r="110" spans="1:38" x14ac:dyDescent="0.25">
      <c r="A110" s="186" t="s">
        <v>994</v>
      </c>
      <c r="B110" s="186"/>
      <c r="C110" s="140">
        <v>1</v>
      </c>
      <c r="D110" s="1" t="s">
        <v>995</v>
      </c>
      <c r="E110" s="151">
        <v>4</v>
      </c>
      <c r="F110" s="65" t="s">
        <v>991</v>
      </c>
      <c r="G110" s="171"/>
      <c r="H110" s="172"/>
      <c r="I110" s="172"/>
      <c r="J110" s="172"/>
      <c r="K110" s="172"/>
      <c r="L110" s="173"/>
      <c r="N110" s="186" t="s">
        <v>974</v>
      </c>
      <c r="O110" s="186"/>
      <c r="P110" s="140">
        <v>1</v>
      </c>
      <c r="Q110" s="1" t="s">
        <v>975</v>
      </c>
      <c r="R110" s="151">
        <v>2</v>
      </c>
      <c r="S110" s="65" t="s">
        <v>976</v>
      </c>
      <c r="T110" s="171"/>
      <c r="U110" s="172"/>
      <c r="V110" s="172"/>
      <c r="W110" s="172"/>
      <c r="X110" s="172"/>
      <c r="Y110" s="173"/>
      <c r="AA110" s="186" t="s">
        <v>996</v>
      </c>
      <c r="AB110" s="186"/>
      <c r="AC110" s="140">
        <v>2</v>
      </c>
      <c r="AD110" s="1" t="s">
        <v>975</v>
      </c>
      <c r="AE110" s="151">
        <v>5</v>
      </c>
      <c r="AF110" s="65" t="s">
        <v>997</v>
      </c>
      <c r="AG110" s="171"/>
      <c r="AH110" s="172"/>
      <c r="AI110" s="172"/>
      <c r="AJ110" s="172"/>
      <c r="AK110" s="172"/>
      <c r="AL110" s="173"/>
    </row>
    <row r="111" spans="1:38" x14ac:dyDescent="0.25">
      <c r="A111" s="186"/>
      <c r="B111" s="186"/>
      <c r="C111" s="140"/>
      <c r="D111" s="1" t="s">
        <v>950</v>
      </c>
      <c r="E111" s="1"/>
      <c r="F111" s="65"/>
      <c r="G111" s="171"/>
      <c r="H111" s="172"/>
      <c r="I111" s="172"/>
      <c r="J111" s="172"/>
      <c r="K111" s="172"/>
      <c r="L111" s="173"/>
      <c r="N111" s="186"/>
      <c r="O111" s="186"/>
      <c r="P111" s="140"/>
      <c r="Q111" s="1" t="s">
        <v>950</v>
      </c>
      <c r="R111" s="1"/>
      <c r="S111" s="65"/>
      <c r="T111" s="171"/>
      <c r="U111" s="172"/>
      <c r="V111" s="172"/>
      <c r="W111" s="172"/>
      <c r="X111" s="172"/>
      <c r="Y111" s="173"/>
      <c r="AA111" s="186"/>
      <c r="AB111" s="186"/>
      <c r="AC111" s="140"/>
      <c r="AD111" s="1" t="s">
        <v>950</v>
      </c>
      <c r="AE111" s="1"/>
      <c r="AF111" s="65"/>
      <c r="AG111" s="171"/>
      <c r="AH111" s="172"/>
      <c r="AI111" s="172"/>
      <c r="AJ111" s="172"/>
      <c r="AK111" s="172"/>
      <c r="AL111" s="173"/>
    </row>
    <row r="112" spans="1:38" ht="16.5" x14ac:dyDescent="0.3">
      <c r="A112" s="187" t="s">
        <v>959</v>
      </c>
      <c r="B112" s="187"/>
      <c r="C112" s="187"/>
      <c r="D112" s="188" t="s">
        <v>915</v>
      </c>
      <c r="E112" s="189"/>
      <c r="F112" s="189"/>
      <c r="G112" s="171"/>
      <c r="H112" s="172"/>
      <c r="I112" s="172"/>
      <c r="J112" s="172"/>
      <c r="K112" s="172"/>
      <c r="L112" s="173"/>
      <c r="N112" s="187" t="s">
        <v>959</v>
      </c>
      <c r="O112" s="187"/>
      <c r="P112" s="187"/>
      <c r="Q112" s="188" t="s">
        <v>938</v>
      </c>
      <c r="R112" s="189"/>
      <c r="S112" s="189"/>
      <c r="T112" s="171"/>
      <c r="U112" s="172"/>
      <c r="V112" s="172"/>
      <c r="W112" s="172"/>
      <c r="X112" s="172"/>
      <c r="Y112" s="173"/>
      <c r="AA112" s="187" t="s">
        <v>959</v>
      </c>
      <c r="AB112" s="187"/>
      <c r="AC112" s="187"/>
      <c r="AD112" s="188" t="s">
        <v>938</v>
      </c>
      <c r="AE112" s="189"/>
      <c r="AF112" s="189"/>
      <c r="AG112" s="171"/>
      <c r="AH112" s="172"/>
      <c r="AI112" s="172"/>
      <c r="AJ112" s="172"/>
      <c r="AK112" s="172"/>
      <c r="AL112" s="173"/>
    </row>
    <row r="113" spans="1:38" ht="15.75" thickBot="1" x14ac:dyDescent="0.3">
      <c r="A113" s="167" t="s">
        <v>960</v>
      </c>
      <c r="B113" s="167"/>
      <c r="C113" s="144">
        <f>A84+IF(D112="Int",G91,IF(D112="Wis",I91,IF(D112="Cha",K91,0)))</f>
        <v>2</v>
      </c>
      <c r="D113" s="167" t="s">
        <v>961</v>
      </c>
      <c r="E113" s="167"/>
      <c r="F113" s="152">
        <f>8+A84+IF(D112="Int",G91,IF(D112="Wis",I91,IF(D112="Cha",K91,0)))</f>
        <v>10</v>
      </c>
      <c r="G113" s="171"/>
      <c r="H113" s="172"/>
      <c r="I113" s="172"/>
      <c r="J113" s="172"/>
      <c r="K113" s="172"/>
      <c r="L113" s="173"/>
      <c r="N113" s="167" t="s">
        <v>960</v>
      </c>
      <c r="O113" s="167"/>
      <c r="P113" s="144">
        <f>N84+IF(Q112="Int",T91,IF(Q112="Wis",V91,IF(Q112="Cha",X91,0)))</f>
        <v>5</v>
      </c>
      <c r="Q113" s="167" t="s">
        <v>961</v>
      </c>
      <c r="R113" s="167"/>
      <c r="S113" s="152">
        <f>8+N84+IF(Q112="Int",T91,IF(Q112="Wis",V91,IF(Q112="Cha",X91,0)))</f>
        <v>13</v>
      </c>
      <c r="T113" s="171"/>
      <c r="U113" s="172"/>
      <c r="V113" s="172"/>
      <c r="W113" s="172"/>
      <c r="X113" s="172"/>
      <c r="Y113" s="173"/>
      <c r="AA113" s="167" t="s">
        <v>960</v>
      </c>
      <c r="AB113" s="167"/>
      <c r="AC113" s="144">
        <f>AA84+IF(AD112="Int",AG91,IF(AD112="Wis",AI91,IF(AD112="Cha",AK91,0)))</f>
        <v>3</v>
      </c>
      <c r="AD113" s="167" t="s">
        <v>961</v>
      </c>
      <c r="AE113" s="167"/>
      <c r="AF113" s="152">
        <f>8+AA84+IF(AD112="Int",AG91,IF(AD112="Wis",AI91,IF(AD112="Cha",AK91,0)))</f>
        <v>11</v>
      </c>
      <c r="AG113" s="171"/>
      <c r="AH113" s="172"/>
      <c r="AI113" s="172"/>
      <c r="AJ113" s="172"/>
      <c r="AK113" s="172"/>
      <c r="AL113" s="173"/>
    </row>
    <row r="114" spans="1:38" x14ac:dyDescent="0.25">
      <c r="A114" s="168" t="s">
        <v>998</v>
      </c>
      <c r="B114" s="169"/>
      <c r="C114" s="169"/>
      <c r="D114" s="169"/>
      <c r="E114" s="169"/>
      <c r="F114" s="170"/>
      <c r="G114" s="171"/>
      <c r="H114" s="172"/>
      <c r="I114" s="172"/>
      <c r="J114" s="172"/>
      <c r="K114" s="172"/>
      <c r="L114" s="173"/>
      <c r="N114" s="168" t="s">
        <v>999</v>
      </c>
      <c r="O114" s="169"/>
      <c r="P114" s="169"/>
      <c r="Q114" s="169"/>
      <c r="R114" s="169"/>
      <c r="S114" s="170"/>
      <c r="T114" s="171"/>
      <c r="U114" s="172"/>
      <c r="V114" s="172"/>
      <c r="W114" s="172"/>
      <c r="X114" s="172"/>
      <c r="Y114" s="173"/>
      <c r="AA114" s="168" t="s">
        <v>1000</v>
      </c>
      <c r="AB114" s="169"/>
      <c r="AC114" s="169"/>
      <c r="AD114" s="169"/>
      <c r="AE114" s="169"/>
      <c r="AF114" s="170"/>
      <c r="AG114" s="171"/>
      <c r="AH114" s="172"/>
      <c r="AI114" s="172"/>
      <c r="AJ114" s="172"/>
      <c r="AK114" s="172"/>
      <c r="AL114" s="173"/>
    </row>
    <row r="115" spans="1:38" x14ac:dyDescent="0.25">
      <c r="A115" s="171"/>
      <c r="B115" s="172"/>
      <c r="C115" s="172"/>
      <c r="D115" s="172"/>
      <c r="E115" s="172"/>
      <c r="F115" s="173"/>
      <c r="G115" s="171"/>
      <c r="H115" s="172"/>
      <c r="I115" s="172"/>
      <c r="J115" s="172"/>
      <c r="K115" s="172"/>
      <c r="L115" s="173"/>
      <c r="N115" s="171"/>
      <c r="O115" s="172"/>
      <c r="P115" s="172"/>
      <c r="Q115" s="172"/>
      <c r="R115" s="172"/>
      <c r="S115" s="173"/>
      <c r="T115" s="171"/>
      <c r="U115" s="172"/>
      <c r="V115" s="172"/>
      <c r="W115" s="172"/>
      <c r="X115" s="172"/>
      <c r="Y115" s="173"/>
      <c r="AA115" s="171"/>
      <c r="AB115" s="172"/>
      <c r="AC115" s="172"/>
      <c r="AD115" s="172"/>
      <c r="AE115" s="172"/>
      <c r="AF115" s="173"/>
      <c r="AG115" s="171"/>
      <c r="AH115" s="172"/>
      <c r="AI115" s="172"/>
      <c r="AJ115" s="172"/>
      <c r="AK115" s="172"/>
      <c r="AL115" s="173"/>
    </row>
    <row r="116" spans="1:38" x14ac:dyDescent="0.25">
      <c r="A116" s="171"/>
      <c r="B116" s="172"/>
      <c r="C116" s="172"/>
      <c r="D116" s="172"/>
      <c r="E116" s="172"/>
      <c r="F116" s="173"/>
      <c r="G116" s="171"/>
      <c r="H116" s="172"/>
      <c r="I116" s="172"/>
      <c r="J116" s="172"/>
      <c r="K116" s="172"/>
      <c r="L116" s="173"/>
      <c r="N116" s="171"/>
      <c r="O116" s="172"/>
      <c r="P116" s="172"/>
      <c r="Q116" s="172"/>
      <c r="R116" s="172"/>
      <c r="S116" s="173"/>
      <c r="T116" s="171"/>
      <c r="U116" s="172"/>
      <c r="V116" s="172"/>
      <c r="W116" s="172"/>
      <c r="X116" s="172"/>
      <c r="Y116" s="173"/>
      <c r="AA116" s="171"/>
      <c r="AB116" s="172"/>
      <c r="AC116" s="172"/>
      <c r="AD116" s="172"/>
      <c r="AE116" s="172"/>
      <c r="AF116" s="173"/>
      <c r="AG116" s="171"/>
      <c r="AH116" s="172"/>
      <c r="AI116" s="172"/>
      <c r="AJ116" s="172"/>
      <c r="AK116" s="172"/>
      <c r="AL116" s="173"/>
    </row>
    <row r="117" spans="1:38" x14ac:dyDescent="0.25">
      <c r="A117" s="171"/>
      <c r="B117" s="172"/>
      <c r="C117" s="172"/>
      <c r="D117" s="172"/>
      <c r="E117" s="172"/>
      <c r="F117" s="173"/>
      <c r="G117" s="171"/>
      <c r="H117" s="172"/>
      <c r="I117" s="172"/>
      <c r="J117" s="172"/>
      <c r="K117" s="172"/>
      <c r="L117" s="173"/>
      <c r="N117" s="171"/>
      <c r="O117" s="172"/>
      <c r="P117" s="172"/>
      <c r="Q117" s="172"/>
      <c r="R117" s="172"/>
      <c r="S117" s="173"/>
      <c r="T117" s="171"/>
      <c r="U117" s="172"/>
      <c r="V117" s="172"/>
      <c r="W117" s="172"/>
      <c r="X117" s="172"/>
      <c r="Y117" s="173"/>
      <c r="AA117" s="171"/>
      <c r="AB117" s="172"/>
      <c r="AC117" s="172"/>
      <c r="AD117" s="172"/>
      <c r="AE117" s="172"/>
      <c r="AF117" s="173"/>
      <c r="AG117" s="171"/>
      <c r="AH117" s="172"/>
      <c r="AI117" s="172"/>
      <c r="AJ117" s="172"/>
      <c r="AK117" s="172"/>
      <c r="AL117" s="173"/>
    </row>
    <row r="118" spans="1:38" x14ac:dyDescent="0.25">
      <c r="A118" s="171"/>
      <c r="B118" s="172"/>
      <c r="C118" s="172"/>
      <c r="D118" s="172"/>
      <c r="E118" s="172"/>
      <c r="F118" s="173"/>
      <c r="G118" s="171"/>
      <c r="H118" s="172"/>
      <c r="I118" s="172"/>
      <c r="J118" s="172"/>
      <c r="K118" s="172"/>
      <c r="L118" s="173"/>
      <c r="N118" s="171"/>
      <c r="O118" s="172"/>
      <c r="P118" s="172"/>
      <c r="Q118" s="172"/>
      <c r="R118" s="172"/>
      <c r="S118" s="173"/>
      <c r="T118" s="171"/>
      <c r="U118" s="172"/>
      <c r="V118" s="172"/>
      <c r="W118" s="172"/>
      <c r="X118" s="172"/>
      <c r="Y118" s="173"/>
      <c r="AA118" s="171"/>
      <c r="AB118" s="172"/>
      <c r="AC118" s="172"/>
      <c r="AD118" s="172"/>
      <c r="AE118" s="172"/>
      <c r="AF118" s="173"/>
      <c r="AG118" s="171"/>
      <c r="AH118" s="172"/>
      <c r="AI118" s="172"/>
      <c r="AJ118" s="172"/>
      <c r="AK118" s="172"/>
      <c r="AL118" s="173"/>
    </row>
    <row r="119" spans="1:38" x14ac:dyDescent="0.25">
      <c r="A119" s="171"/>
      <c r="B119" s="172"/>
      <c r="C119" s="172"/>
      <c r="D119" s="172"/>
      <c r="E119" s="172"/>
      <c r="F119" s="173"/>
      <c r="G119" s="171"/>
      <c r="H119" s="172"/>
      <c r="I119" s="172"/>
      <c r="J119" s="172"/>
      <c r="K119" s="172"/>
      <c r="L119" s="173"/>
      <c r="N119" s="171"/>
      <c r="O119" s="172"/>
      <c r="P119" s="172"/>
      <c r="Q119" s="172"/>
      <c r="R119" s="172"/>
      <c r="S119" s="173"/>
      <c r="T119" s="171"/>
      <c r="U119" s="172"/>
      <c r="V119" s="172"/>
      <c r="W119" s="172"/>
      <c r="X119" s="172"/>
      <c r="Y119" s="173"/>
      <c r="AA119" s="171"/>
      <c r="AB119" s="172"/>
      <c r="AC119" s="172"/>
      <c r="AD119" s="172"/>
      <c r="AE119" s="172"/>
      <c r="AF119" s="173"/>
      <c r="AG119" s="171"/>
      <c r="AH119" s="172"/>
      <c r="AI119" s="172"/>
      <c r="AJ119" s="172"/>
      <c r="AK119" s="172"/>
      <c r="AL119" s="173"/>
    </row>
    <row r="120" spans="1:38" x14ac:dyDescent="0.25">
      <c r="A120" s="171"/>
      <c r="B120" s="172"/>
      <c r="C120" s="172"/>
      <c r="D120" s="172"/>
      <c r="E120" s="172"/>
      <c r="F120" s="173"/>
      <c r="G120" s="171"/>
      <c r="H120" s="172"/>
      <c r="I120" s="172"/>
      <c r="J120" s="172"/>
      <c r="K120" s="172"/>
      <c r="L120" s="173"/>
      <c r="N120" s="171"/>
      <c r="O120" s="172"/>
      <c r="P120" s="172"/>
      <c r="Q120" s="172"/>
      <c r="R120" s="172"/>
      <c r="S120" s="173"/>
      <c r="T120" s="171"/>
      <c r="U120" s="172"/>
      <c r="V120" s="172"/>
      <c r="W120" s="172"/>
      <c r="X120" s="172"/>
      <c r="Y120" s="173"/>
      <c r="AA120" s="171"/>
      <c r="AB120" s="172"/>
      <c r="AC120" s="172"/>
      <c r="AD120" s="172"/>
      <c r="AE120" s="172"/>
      <c r="AF120" s="173"/>
      <c r="AG120" s="171"/>
      <c r="AH120" s="172"/>
      <c r="AI120" s="172"/>
      <c r="AJ120" s="172"/>
      <c r="AK120" s="172"/>
      <c r="AL120" s="173"/>
    </row>
    <row r="121" spans="1:38" x14ac:dyDescent="0.25">
      <c r="A121" s="171"/>
      <c r="B121" s="172"/>
      <c r="C121" s="172"/>
      <c r="D121" s="172"/>
      <c r="E121" s="172"/>
      <c r="F121" s="173"/>
      <c r="G121" s="171"/>
      <c r="H121" s="172"/>
      <c r="I121" s="172"/>
      <c r="J121" s="172"/>
      <c r="K121" s="172"/>
      <c r="L121" s="173"/>
      <c r="N121" s="171"/>
      <c r="O121" s="172"/>
      <c r="P121" s="172"/>
      <c r="Q121" s="172"/>
      <c r="R121" s="172"/>
      <c r="S121" s="173"/>
      <c r="T121" s="171"/>
      <c r="U121" s="172"/>
      <c r="V121" s="172"/>
      <c r="W121" s="172"/>
      <c r="X121" s="172"/>
      <c r="Y121" s="173"/>
      <c r="AA121" s="171"/>
      <c r="AB121" s="172"/>
      <c r="AC121" s="172"/>
      <c r="AD121" s="172"/>
      <c r="AE121" s="172"/>
      <c r="AF121" s="173"/>
      <c r="AG121" s="171"/>
      <c r="AH121" s="172"/>
      <c r="AI121" s="172"/>
      <c r="AJ121" s="172"/>
      <c r="AK121" s="172"/>
      <c r="AL121" s="173"/>
    </row>
    <row r="122" spans="1:38" ht="15.75" thickBot="1" x14ac:dyDescent="0.3">
      <c r="A122" s="174"/>
      <c r="B122" s="175"/>
      <c r="C122" s="175"/>
      <c r="D122" s="175"/>
      <c r="E122" s="175"/>
      <c r="F122" s="176"/>
      <c r="G122" s="174"/>
      <c r="H122" s="175"/>
      <c r="I122" s="175"/>
      <c r="J122" s="175"/>
      <c r="K122" s="175"/>
      <c r="L122" s="176"/>
      <c r="N122" s="174"/>
      <c r="O122" s="175"/>
      <c r="P122" s="175"/>
      <c r="Q122" s="175"/>
      <c r="R122" s="175"/>
      <c r="S122" s="176"/>
      <c r="T122" s="174"/>
      <c r="U122" s="175"/>
      <c r="V122" s="175"/>
      <c r="W122" s="175"/>
      <c r="X122" s="175"/>
      <c r="Y122" s="176"/>
      <c r="AA122" s="174"/>
      <c r="AB122" s="175"/>
      <c r="AC122" s="175"/>
      <c r="AD122" s="175"/>
      <c r="AE122" s="175"/>
      <c r="AF122" s="176"/>
      <c r="AG122" s="174"/>
      <c r="AH122" s="175"/>
      <c r="AI122" s="175"/>
      <c r="AJ122" s="175"/>
      <c r="AK122" s="175"/>
      <c r="AL122" s="176"/>
    </row>
    <row r="124" spans="1:38" ht="17.25" x14ac:dyDescent="0.25">
      <c r="A124" s="127">
        <v>10</v>
      </c>
      <c r="B124" s="236" t="s">
        <v>1001</v>
      </c>
      <c r="C124" s="236"/>
      <c r="D124" s="236"/>
      <c r="E124" s="236"/>
      <c r="F124" s="236"/>
      <c r="G124" s="236"/>
      <c r="H124" s="236"/>
      <c r="I124" s="236"/>
      <c r="J124" s="236"/>
      <c r="K124" s="236"/>
      <c r="L124" s="236"/>
      <c r="N124" s="127">
        <v>11</v>
      </c>
      <c r="O124" s="236" t="s">
        <v>1002</v>
      </c>
      <c r="P124" s="236"/>
      <c r="Q124" s="236"/>
      <c r="R124" s="236"/>
      <c r="S124" s="236"/>
      <c r="T124" s="236"/>
      <c r="U124" s="236"/>
      <c r="V124" s="236"/>
      <c r="W124" s="236"/>
      <c r="X124" s="236"/>
      <c r="Y124" s="236"/>
      <c r="AA124" s="127">
        <v>12</v>
      </c>
      <c r="AB124" s="236" t="s">
        <v>1003</v>
      </c>
      <c r="AC124" s="236"/>
      <c r="AD124" s="236"/>
      <c r="AE124" s="236"/>
      <c r="AF124" s="236"/>
      <c r="AG124" s="236"/>
      <c r="AH124" s="236"/>
      <c r="AI124" s="236"/>
      <c r="AJ124" s="236"/>
      <c r="AK124" s="236"/>
      <c r="AL124" s="236"/>
    </row>
    <row r="125" spans="1:38" ht="21" x14ac:dyDescent="0.25">
      <c r="A125" s="128">
        <v>2</v>
      </c>
      <c r="B125" s="236"/>
      <c r="C125" s="236"/>
      <c r="D125" s="236"/>
      <c r="E125" s="236"/>
      <c r="F125" s="236"/>
      <c r="G125" s="236"/>
      <c r="H125" s="236"/>
      <c r="I125" s="236"/>
      <c r="J125" s="236"/>
      <c r="K125" s="236"/>
      <c r="L125" s="236"/>
      <c r="N125" s="128">
        <v>2</v>
      </c>
      <c r="O125" s="236"/>
      <c r="P125" s="236"/>
      <c r="Q125" s="236"/>
      <c r="R125" s="236"/>
      <c r="S125" s="236"/>
      <c r="T125" s="236"/>
      <c r="U125" s="236"/>
      <c r="V125" s="236"/>
      <c r="W125" s="236"/>
      <c r="X125" s="236"/>
      <c r="Y125" s="236"/>
      <c r="AA125" s="128">
        <v>2</v>
      </c>
      <c r="AB125" s="236"/>
      <c r="AC125" s="236"/>
      <c r="AD125" s="236"/>
      <c r="AE125" s="236"/>
      <c r="AF125" s="236"/>
      <c r="AG125" s="236"/>
      <c r="AH125" s="236"/>
      <c r="AI125" s="236"/>
      <c r="AJ125" s="236"/>
      <c r="AK125" s="236"/>
      <c r="AL125" s="236"/>
    </row>
    <row r="126" spans="1:38" ht="16.5" x14ac:dyDescent="0.3">
      <c r="A126" s="237" t="s">
        <v>37</v>
      </c>
      <c r="B126" s="237"/>
      <c r="C126" s="237" t="s">
        <v>18</v>
      </c>
      <c r="D126" s="237"/>
      <c r="E126" s="237" t="s">
        <v>1004</v>
      </c>
      <c r="F126" s="237"/>
      <c r="G126" s="238" t="s">
        <v>909</v>
      </c>
      <c r="H126" s="239">
        <v>17</v>
      </c>
      <c r="I126" s="229" t="s">
        <v>1005</v>
      </c>
      <c r="J126" s="230"/>
      <c r="K126" s="230"/>
      <c r="L126" s="231"/>
      <c r="N126" s="237" t="s">
        <v>37</v>
      </c>
      <c r="O126" s="237"/>
      <c r="P126" s="237" t="s">
        <v>18</v>
      </c>
      <c r="Q126" s="237"/>
      <c r="R126" s="237" t="s">
        <v>982</v>
      </c>
      <c r="S126" s="237"/>
      <c r="T126" s="238" t="s">
        <v>909</v>
      </c>
      <c r="U126" s="239">
        <v>14</v>
      </c>
      <c r="V126" s="229" t="s">
        <v>910</v>
      </c>
      <c r="W126" s="230"/>
      <c r="X126" s="230"/>
      <c r="Y126" s="231"/>
      <c r="AA126" s="237" t="s">
        <v>37</v>
      </c>
      <c r="AB126" s="237"/>
      <c r="AC126" s="237" t="s">
        <v>18</v>
      </c>
      <c r="AD126" s="237"/>
      <c r="AE126" s="237" t="s">
        <v>982</v>
      </c>
      <c r="AF126" s="237"/>
      <c r="AG126" s="238" t="s">
        <v>909</v>
      </c>
      <c r="AH126" s="239">
        <v>15</v>
      </c>
      <c r="AI126" s="229" t="s">
        <v>910</v>
      </c>
      <c r="AJ126" s="230"/>
      <c r="AK126" s="230"/>
      <c r="AL126" s="231"/>
    </row>
    <row r="127" spans="1:38" x14ac:dyDescent="0.25">
      <c r="A127" s="228" t="s">
        <v>2</v>
      </c>
      <c r="B127" s="228"/>
      <c r="C127" s="228" t="s">
        <v>912</v>
      </c>
      <c r="D127" s="228"/>
      <c r="E127" s="228" t="s">
        <v>913</v>
      </c>
      <c r="F127" s="228"/>
      <c r="G127" s="238"/>
      <c r="H127" s="239"/>
      <c r="I127" s="229"/>
      <c r="J127" s="230"/>
      <c r="K127" s="230"/>
      <c r="L127" s="231"/>
      <c r="N127" s="228" t="s">
        <v>2</v>
      </c>
      <c r="O127" s="228"/>
      <c r="P127" s="228" t="s">
        <v>912</v>
      </c>
      <c r="Q127" s="228"/>
      <c r="R127" s="228" t="s">
        <v>913</v>
      </c>
      <c r="S127" s="228"/>
      <c r="T127" s="238"/>
      <c r="U127" s="239"/>
      <c r="V127" s="229"/>
      <c r="W127" s="230"/>
      <c r="X127" s="230"/>
      <c r="Y127" s="231"/>
      <c r="AA127" s="228" t="s">
        <v>2</v>
      </c>
      <c r="AB127" s="228"/>
      <c r="AC127" s="228" t="s">
        <v>912</v>
      </c>
      <c r="AD127" s="228"/>
      <c r="AE127" s="228" t="s">
        <v>913</v>
      </c>
      <c r="AF127" s="228"/>
      <c r="AG127" s="238"/>
      <c r="AH127" s="239"/>
      <c r="AI127" s="229"/>
      <c r="AJ127" s="230"/>
      <c r="AK127" s="230"/>
      <c r="AL127" s="231"/>
    </row>
    <row r="128" spans="1:38" x14ac:dyDescent="0.25">
      <c r="A128" s="232">
        <f>C132</f>
        <v>1</v>
      </c>
      <c r="B128" s="232"/>
      <c r="C128" s="233">
        <v>30</v>
      </c>
      <c r="D128" s="233"/>
      <c r="E128" s="233"/>
      <c r="F128" s="233"/>
      <c r="G128" s="235">
        <v>9</v>
      </c>
      <c r="H128" s="235" t="str">
        <f>IF(C126="Tiny","d4",IF(C126="Small","d6",IF(C126="Medium","d8",IF(C126="Large","d10",IF(C126="Huge","d12",IF(C126="Gargantuan","d20",""))))))</f>
        <v>d8</v>
      </c>
      <c r="I128" s="223">
        <f>IFERROR(G128*E132,0)</f>
        <v>18</v>
      </c>
      <c r="J128" s="224">
        <f>ROUNDDOWN((0.5*(1+VALUE(RIGHT(H128,LEN(H128)-1)))+IF(E132="",0,E132))*G128,0)</f>
        <v>58</v>
      </c>
      <c r="K128" s="224"/>
      <c r="L128" s="225">
        <v>3</v>
      </c>
      <c r="N128" s="232">
        <f>P132</f>
        <v>3</v>
      </c>
      <c r="O128" s="232"/>
      <c r="P128" s="233">
        <v>30</v>
      </c>
      <c r="Q128" s="233"/>
      <c r="R128" s="233"/>
      <c r="S128" s="233"/>
      <c r="T128" s="235">
        <v>3</v>
      </c>
      <c r="U128" s="235" t="str">
        <f>IF(P126="Tiny","d4",IF(P126="Small","d6",IF(P126="Medium","d8",IF(P126="Large","d10",IF(P126="Huge","d12",IF(P126="Gargantuan","d20",""))))))</f>
        <v>d8</v>
      </c>
      <c r="V128" s="223">
        <f>IFERROR(T128*R132,0)</f>
        <v>3</v>
      </c>
      <c r="W128" s="224">
        <f>ROUNDDOWN((0.5*(1+VALUE(RIGHT(U128,LEN(U128)-1)))+IF(R132="",0,R132))*T128,0)</f>
        <v>16</v>
      </c>
      <c r="X128" s="224"/>
      <c r="Y128" s="225">
        <v>1</v>
      </c>
      <c r="AA128" s="232">
        <f>AC132</f>
        <v>4</v>
      </c>
      <c r="AB128" s="232"/>
      <c r="AC128" s="233">
        <v>30</v>
      </c>
      <c r="AD128" s="233"/>
      <c r="AE128" s="233"/>
      <c r="AF128" s="233"/>
      <c r="AG128" s="235">
        <v>6</v>
      </c>
      <c r="AH128" s="235" t="str">
        <f>IF(AC126="Tiny","d4",IF(AC126="Small","d6",IF(AC126="Medium","d8",IF(AC126="Large","d10",IF(AC126="Huge","d12",IF(AC126="Gargantuan","d20",""))))))</f>
        <v>d8</v>
      </c>
      <c r="AI128" s="223">
        <f>IFERROR(AG128*AE132,0)</f>
        <v>12</v>
      </c>
      <c r="AJ128" s="224">
        <f>ROUNDDOWN((0.5*(1+VALUE(RIGHT(AH128,LEN(AH128)-1)))+IF(AE132="",0,AE132))*AG128,0)</f>
        <v>39</v>
      </c>
      <c r="AK128" s="224"/>
      <c r="AL128" s="225">
        <v>2</v>
      </c>
    </row>
    <row r="129" spans="1:38" x14ac:dyDescent="0.25">
      <c r="A129" s="232"/>
      <c r="B129" s="232"/>
      <c r="C129" s="234"/>
      <c r="D129" s="234"/>
      <c r="E129" s="234"/>
      <c r="F129" s="234"/>
      <c r="G129" s="235"/>
      <c r="H129" s="235"/>
      <c r="I129" s="223"/>
      <c r="J129" s="224"/>
      <c r="K129" s="224"/>
      <c r="L129" s="225"/>
      <c r="N129" s="232"/>
      <c r="O129" s="232"/>
      <c r="P129" s="234"/>
      <c r="Q129" s="234"/>
      <c r="R129" s="234"/>
      <c r="S129" s="234"/>
      <c r="T129" s="235"/>
      <c r="U129" s="235"/>
      <c r="V129" s="223"/>
      <c r="W129" s="224"/>
      <c r="X129" s="224"/>
      <c r="Y129" s="225"/>
      <c r="AA129" s="232"/>
      <c r="AB129" s="232"/>
      <c r="AC129" s="234"/>
      <c r="AD129" s="234"/>
      <c r="AE129" s="234"/>
      <c r="AF129" s="234"/>
      <c r="AG129" s="235"/>
      <c r="AH129" s="235"/>
      <c r="AI129" s="223"/>
      <c r="AJ129" s="224"/>
      <c r="AK129" s="224"/>
      <c r="AL129" s="225"/>
    </row>
    <row r="130" spans="1:38" ht="15.75" thickBot="1" x14ac:dyDescent="0.3">
      <c r="A130" s="226" t="str">
        <f>"Base Init:"&amp;C132</f>
        <v>Base Init:1</v>
      </c>
      <c r="B130" s="226"/>
      <c r="C130" s="129" t="s">
        <v>914</v>
      </c>
      <c r="D130" s="129" t="s">
        <v>915</v>
      </c>
      <c r="E130" s="129" t="s">
        <v>915</v>
      </c>
      <c r="F130" s="129" t="s">
        <v>915</v>
      </c>
      <c r="G130" s="226" t="s">
        <v>916</v>
      </c>
      <c r="H130" s="226"/>
      <c r="I130" s="226"/>
      <c r="J130" s="226"/>
      <c r="K130" s="226"/>
      <c r="L130" s="129" t="s">
        <v>11</v>
      </c>
      <c r="N130" s="226" t="str">
        <f>"Base Init:"&amp;P132</f>
        <v>Base Init:3</v>
      </c>
      <c r="O130" s="226"/>
      <c r="P130" s="129" t="s">
        <v>914</v>
      </c>
      <c r="Q130" s="129" t="s">
        <v>915</v>
      </c>
      <c r="R130" s="129" t="s">
        <v>915</v>
      </c>
      <c r="S130" s="129" t="s">
        <v>915</v>
      </c>
      <c r="T130" s="226" t="s">
        <v>916</v>
      </c>
      <c r="U130" s="226"/>
      <c r="V130" s="226"/>
      <c r="W130" s="226"/>
      <c r="X130" s="226"/>
      <c r="Y130" s="129" t="s">
        <v>11</v>
      </c>
      <c r="AA130" s="226" t="str">
        <f>"Base Init:"&amp;AC132</f>
        <v>Base Init:4</v>
      </c>
      <c r="AB130" s="226"/>
      <c r="AC130" s="129" t="s">
        <v>914</v>
      </c>
      <c r="AD130" s="129" t="s">
        <v>915</v>
      </c>
      <c r="AE130" s="129" t="s">
        <v>915</v>
      </c>
      <c r="AF130" s="129" t="s">
        <v>915</v>
      </c>
      <c r="AG130" s="226" t="s">
        <v>916</v>
      </c>
      <c r="AH130" s="226"/>
      <c r="AI130" s="226"/>
      <c r="AJ130" s="226"/>
      <c r="AK130" s="226"/>
      <c r="AL130" s="129" t="s">
        <v>11</v>
      </c>
    </row>
    <row r="131" spans="1:38" ht="17.25" x14ac:dyDescent="0.25">
      <c r="A131" s="227">
        <v>16</v>
      </c>
      <c r="B131" s="219"/>
      <c r="C131" s="218">
        <v>13</v>
      </c>
      <c r="D131" s="219"/>
      <c r="E131" s="218">
        <v>14</v>
      </c>
      <c r="F131" s="219"/>
      <c r="G131" s="218">
        <v>10</v>
      </c>
      <c r="H131" s="219"/>
      <c r="I131" s="218">
        <v>11</v>
      </c>
      <c r="J131" s="219"/>
      <c r="K131" s="218">
        <v>10</v>
      </c>
      <c r="L131" s="219"/>
      <c r="N131" s="227">
        <v>9</v>
      </c>
      <c r="O131" s="219"/>
      <c r="P131" s="218">
        <v>16</v>
      </c>
      <c r="Q131" s="219"/>
      <c r="R131" s="218">
        <v>13</v>
      </c>
      <c r="S131" s="219"/>
      <c r="T131" s="218">
        <v>11</v>
      </c>
      <c r="U131" s="219"/>
      <c r="V131" s="218">
        <v>10</v>
      </c>
      <c r="W131" s="219"/>
      <c r="X131" s="218">
        <v>12</v>
      </c>
      <c r="Y131" s="219"/>
      <c r="AA131" s="227">
        <v>11</v>
      </c>
      <c r="AB131" s="219"/>
      <c r="AC131" s="218">
        <v>18</v>
      </c>
      <c r="AD131" s="219"/>
      <c r="AE131" s="218">
        <v>14</v>
      </c>
      <c r="AF131" s="219"/>
      <c r="AG131" s="218">
        <v>11</v>
      </c>
      <c r="AH131" s="219"/>
      <c r="AI131" s="218">
        <v>10</v>
      </c>
      <c r="AJ131" s="219"/>
      <c r="AK131" s="218">
        <v>12</v>
      </c>
      <c r="AL131" s="219"/>
    </row>
    <row r="132" spans="1:38" x14ac:dyDescent="0.25">
      <c r="A132" s="220">
        <f>IF(A131=0,"",IF(A131&gt;10,ROUNDDOWN((A131-10)/2,0),ROUNDUP((A131-10)/2,0)))</f>
        <v>3</v>
      </c>
      <c r="B132" s="221"/>
      <c r="C132" s="222">
        <f>IF(C131=0,"",IF(C131&gt;10,ROUNDDOWN((C131-10)/2,0),ROUNDUP((C131-10)/2,0)))</f>
        <v>1</v>
      </c>
      <c r="D132" s="221"/>
      <c r="E132" s="222">
        <f>IF(E131=0,"",IF(E131&gt;10,ROUNDDOWN((E131-10)/2,0),ROUNDUP((E131-10)/2,0)))</f>
        <v>2</v>
      </c>
      <c r="F132" s="221"/>
      <c r="G132" s="222">
        <f>IF(G131=0,"",IF(G131&gt;10,ROUNDDOWN((G131-10)/2,0),ROUNDUP((G131-10)/2,0)))</f>
        <v>0</v>
      </c>
      <c r="H132" s="221"/>
      <c r="I132" s="222">
        <f>IF(I131=0,"",IF(I131&gt;10,ROUNDDOWN((I131-10)/2,0),ROUNDUP((I131-10)/2,0)))</f>
        <v>0</v>
      </c>
      <c r="J132" s="221"/>
      <c r="K132" s="222">
        <f>IF(K131=0,"",IF(K131&gt;10,ROUNDDOWN((K131-10)/2,0),ROUNDUP((K131-10)/2,0)))</f>
        <v>0</v>
      </c>
      <c r="L132" s="221"/>
      <c r="N132" s="220">
        <f>IF(N131=0,"",IF(N131&gt;10,ROUNDDOWN((N131-10)/2,0),ROUNDUP((N131-10)/2,0)))</f>
        <v>-1</v>
      </c>
      <c r="O132" s="221"/>
      <c r="P132" s="222">
        <f>IF(P131=0,"",IF(P131&gt;10,ROUNDDOWN((P131-10)/2,0),ROUNDUP((P131-10)/2,0)))</f>
        <v>3</v>
      </c>
      <c r="Q132" s="221"/>
      <c r="R132" s="222">
        <f>IF(R131=0,"",IF(R131&gt;10,ROUNDDOWN((R131-10)/2,0),ROUNDUP((R131-10)/2,0)))</f>
        <v>1</v>
      </c>
      <c r="S132" s="221"/>
      <c r="T132" s="222">
        <f>IF(T131=0,"",IF(T131&gt;10,ROUNDDOWN((T131-10)/2,0),ROUNDUP((T131-10)/2,0)))</f>
        <v>0</v>
      </c>
      <c r="U132" s="221"/>
      <c r="V132" s="222">
        <f>IF(V131=0,"",IF(V131&gt;10,ROUNDDOWN((V131-10)/2,0),ROUNDUP((V131-10)/2,0)))</f>
        <v>0</v>
      </c>
      <c r="W132" s="221"/>
      <c r="X132" s="222">
        <f>IF(X131=0,"",IF(X131&gt;10,ROUNDDOWN((X131-10)/2,0),ROUNDUP((X131-10)/2,0)))</f>
        <v>1</v>
      </c>
      <c r="Y132" s="221"/>
      <c r="AA132" s="220">
        <f>IF(AA131=0,"",IF(AA131&gt;10,ROUNDDOWN((AA131-10)/2,0),ROUNDUP((AA131-10)/2,0)))</f>
        <v>0</v>
      </c>
      <c r="AB132" s="221"/>
      <c r="AC132" s="222">
        <f>IF(AC131=0,"",IF(AC131&gt;10,ROUNDDOWN((AC131-10)/2,0),ROUNDUP((AC131-10)/2,0)))</f>
        <v>4</v>
      </c>
      <c r="AD132" s="221"/>
      <c r="AE132" s="222">
        <f>IF(AE131=0,"",IF(AE131&gt;10,ROUNDDOWN((AE131-10)/2,0),ROUNDUP((AE131-10)/2,0)))</f>
        <v>2</v>
      </c>
      <c r="AF132" s="221"/>
      <c r="AG132" s="222">
        <f>IF(AG131=0,"",IF(AG131&gt;10,ROUNDDOWN((AG131-10)/2,0),ROUNDUP((AG131-10)/2,0)))</f>
        <v>0</v>
      </c>
      <c r="AH132" s="221"/>
      <c r="AI132" s="222">
        <f>IF(AI131=0,"",IF(AI131&gt;10,ROUNDDOWN((AI131-10)/2,0),ROUNDUP((AI131-10)/2,0)))</f>
        <v>0</v>
      </c>
      <c r="AJ132" s="221"/>
      <c r="AK132" s="222">
        <f>IF(AK131=0,"",IF(AK131&gt;10,ROUNDDOWN((AK131-10)/2,0),ROUNDUP((AK131-10)/2,0)))</f>
        <v>1</v>
      </c>
      <c r="AL132" s="221"/>
    </row>
    <row r="133" spans="1:38" x14ac:dyDescent="0.25">
      <c r="A133" s="220"/>
      <c r="B133" s="221"/>
      <c r="C133" s="222"/>
      <c r="D133" s="221"/>
      <c r="E133" s="222"/>
      <c r="F133" s="221"/>
      <c r="G133" s="222"/>
      <c r="H133" s="221"/>
      <c r="I133" s="222"/>
      <c r="J133" s="221"/>
      <c r="K133" s="222"/>
      <c r="L133" s="221"/>
      <c r="N133" s="220"/>
      <c r="O133" s="221"/>
      <c r="P133" s="222"/>
      <c r="Q133" s="221"/>
      <c r="R133" s="222"/>
      <c r="S133" s="221"/>
      <c r="T133" s="222"/>
      <c r="U133" s="221"/>
      <c r="V133" s="222"/>
      <c r="W133" s="221"/>
      <c r="X133" s="222"/>
      <c r="Y133" s="221"/>
      <c r="AA133" s="220"/>
      <c r="AB133" s="221"/>
      <c r="AC133" s="222"/>
      <c r="AD133" s="221"/>
      <c r="AE133" s="222"/>
      <c r="AF133" s="221"/>
      <c r="AG133" s="222"/>
      <c r="AH133" s="221"/>
      <c r="AI133" s="222"/>
      <c r="AJ133" s="221"/>
      <c r="AK133" s="222"/>
      <c r="AL133" s="221"/>
    </row>
    <row r="134" spans="1:38" ht="15.75" thickBot="1" x14ac:dyDescent="0.3">
      <c r="A134" s="215" t="s">
        <v>917</v>
      </c>
      <c r="B134" s="216"/>
      <c r="C134" s="217" t="s">
        <v>918</v>
      </c>
      <c r="D134" s="216"/>
      <c r="E134" s="217" t="s">
        <v>919</v>
      </c>
      <c r="F134" s="216"/>
      <c r="G134" s="217" t="s">
        <v>920</v>
      </c>
      <c r="H134" s="216"/>
      <c r="I134" s="217" t="s">
        <v>921</v>
      </c>
      <c r="J134" s="216"/>
      <c r="K134" s="217" t="s">
        <v>922</v>
      </c>
      <c r="L134" s="216"/>
      <c r="N134" s="215" t="s">
        <v>917</v>
      </c>
      <c r="O134" s="216"/>
      <c r="P134" s="217" t="s">
        <v>918</v>
      </c>
      <c r="Q134" s="216"/>
      <c r="R134" s="217" t="s">
        <v>919</v>
      </c>
      <c r="S134" s="216"/>
      <c r="T134" s="217" t="s">
        <v>920</v>
      </c>
      <c r="U134" s="216"/>
      <c r="V134" s="217" t="s">
        <v>921</v>
      </c>
      <c r="W134" s="216"/>
      <c r="X134" s="217" t="s">
        <v>922</v>
      </c>
      <c r="Y134" s="216"/>
      <c r="AA134" s="215" t="s">
        <v>917</v>
      </c>
      <c r="AB134" s="216"/>
      <c r="AC134" s="217" t="s">
        <v>918</v>
      </c>
      <c r="AD134" s="216"/>
      <c r="AE134" s="217" t="s">
        <v>919</v>
      </c>
      <c r="AF134" s="216"/>
      <c r="AG134" s="217" t="s">
        <v>920</v>
      </c>
      <c r="AH134" s="216"/>
      <c r="AI134" s="217" t="s">
        <v>921</v>
      </c>
      <c r="AJ134" s="216"/>
      <c r="AK134" s="217" t="s">
        <v>922</v>
      </c>
      <c r="AL134" s="216"/>
    </row>
    <row r="135" spans="1:38" ht="15.75" thickBot="1" x14ac:dyDescent="0.3">
      <c r="A135" s="180" t="s">
        <v>923</v>
      </c>
      <c r="B135" s="181"/>
      <c r="C135" s="181"/>
      <c r="D135" s="181"/>
      <c r="E135" s="181"/>
      <c r="F135" s="182"/>
      <c r="G135" s="180" t="s">
        <v>924</v>
      </c>
      <c r="H135" s="181"/>
      <c r="I135" s="181"/>
      <c r="J135" s="181"/>
      <c r="K135" s="181"/>
      <c r="L135" s="182"/>
      <c r="N135" s="180" t="s">
        <v>923</v>
      </c>
      <c r="O135" s="181"/>
      <c r="P135" s="181"/>
      <c r="Q135" s="181"/>
      <c r="R135" s="181"/>
      <c r="S135" s="182"/>
      <c r="T135" s="180" t="s">
        <v>924</v>
      </c>
      <c r="U135" s="181"/>
      <c r="V135" s="181"/>
      <c r="W135" s="181"/>
      <c r="X135" s="181"/>
      <c r="Y135" s="182"/>
      <c r="AA135" s="180" t="s">
        <v>923</v>
      </c>
      <c r="AB135" s="181"/>
      <c r="AC135" s="181"/>
      <c r="AD135" s="181"/>
      <c r="AE135" s="181"/>
      <c r="AF135" s="182"/>
      <c r="AG135" s="180" t="s">
        <v>924</v>
      </c>
      <c r="AH135" s="181"/>
      <c r="AI135" s="181"/>
      <c r="AJ135" s="181"/>
      <c r="AK135" s="181"/>
      <c r="AL135" s="182"/>
    </row>
    <row r="136" spans="1:38" ht="16.5" x14ac:dyDescent="0.3">
      <c r="A136" s="131" t="s">
        <v>917</v>
      </c>
      <c r="B136" s="132">
        <f>IFERROR(IF(C136="prof",A132+A125,A132),"")</f>
        <v>3</v>
      </c>
      <c r="C136" s="133" t="s">
        <v>925</v>
      </c>
      <c r="D136" s="134" t="s">
        <v>920</v>
      </c>
      <c r="E136" s="135">
        <f>IFERROR(IF(F136="prof",G132+A125,G132),"")</f>
        <v>0</v>
      </c>
      <c r="F136" s="136" t="s">
        <v>925</v>
      </c>
      <c r="G136" s="207" t="s">
        <v>926</v>
      </c>
      <c r="H136" s="208"/>
      <c r="I136" s="208"/>
      <c r="J136" s="211">
        <f>IFERROR(IF(L136="prof",I132+A125+10,I132+10),"")</f>
        <v>12</v>
      </c>
      <c r="K136" s="211"/>
      <c r="L136" s="213" t="s">
        <v>932</v>
      </c>
      <c r="N136" s="131" t="s">
        <v>917</v>
      </c>
      <c r="O136" s="132">
        <f>IFERROR(IF(P136="prof",N132+N125,N132),"")</f>
        <v>-1</v>
      </c>
      <c r="P136" s="133" t="s">
        <v>925</v>
      </c>
      <c r="Q136" s="134" t="s">
        <v>920</v>
      </c>
      <c r="R136" s="135">
        <f>IFERROR(IF(S136="prof",T132+N125,T132),"")</f>
        <v>0</v>
      </c>
      <c r="S136" s="136" t="s">
        <v>925</v>
      </c>
      <c r="T136" s="207" t="s">
        <v>926</v>
      </c>
      <c r="U136" s="208"/>
      <c r="V136" s="208"/>
      <c r="W136" s="211">
        <f>IFERROR(IF(Y136="prof",V132+N125+10,V132+10),"")</f>
        <v>10</v>
      </c>
      <c r="X136" s="211"/>
      <c r="Y136" s="213" t="s">
        <v>925</v>
      </c>
      <c r="AA136" s="131" t="s">
        <v>917</v>
      </c>
      <c r="AB136" s="132">
        <f>IFERROR(IF(AC136="prof",AA132+AA125,AA132),"")</f>
        <v>0</v>
      </c>
      <c r="AC136" s="133" t="s">
        <v>925</v>
      </c>
      <c r="AD136" s="134" t="s">
        <v>920</v>
      </c>
      <c r="AE136" s="135">
        <f>IFERROR(IF(AF136="prof",AG132+AA125,AG132),"")</f>
        <v>0</v>
      </c>
      <c r="AF136" s="136" t="s">
        <v>925</v>
      </c>
      <c r="AG136" s="207" t="s">
        <v>926</v>
      </c>
      <c r="AH136" s="208"/>
      <c r="AI136" s="208"/>
      <c r="AJ136" s="211">
        <f>IFERROR(IF(AL136="prof",AI132+AA125+10,AI132+10),"")</f>
        <v>10</v>
      </c>
      <c r="AK136" s="211"/>
      <c r="AL136" s="213" t="s">
        <v>925</v>
      </c>
    </row>
    <row r="137" spans="1:38" ht="16.5" x14ac:dyDescent="0.3">
      <c r="A137" s="134" t="s">
        <v>918</v>
      </c>
      <c r="B137" s="135">
        <f>IFERROR(IF(C137="prof",C132+A125,C132),"")</f>
        <v>1</v>
      </c>
      <c r="C137" s="137" t="s">
        <v>925</v>
      </c>
      <c r="D137" s="134" t="s">
        <v>921</v>
      </c>
      <c r="E137" s="135">
        <f>IFERROR(IF(F137="prof",I132+A125,I132),"")</f>
        <v>0</v>
      </c>
      <c r="F137" s="137" t="s">
        <v>925</v>
      </c>
      <c r="G137" s="209"/>
      <c r="H137" s="210"/>
      <c r="I137" s="210"/>
      <c r="J137" s="212"/>
      <c r="K137" s="212"/>
      <c r="L137" s="214"/>
      <c r="N137" s="134" t="s">
        <v>918</v>
      </c>
      <c r="O137" s="135">
        <f>IFERROR(IF(P137="prof",P132+N125,P132),"")</f>
        <v>3</v>
      </c>
      <c r="P137" s="137" t="s">
        <v>925</v>
      </c>
      <c r="Q137" s="134" t="s">
        <v>921</v>
      </c>
      <c r="R137" s="135">
        <f>IFERROR(IF(S137="prof",V132+N125,V132),"")</f>
        <v>2</v>
      </c>
      <c r="S137" s="137" t="s">
        <v>932</v>
      </c>
      <c r="T137" s="209"/>
      <c r="U137" s="210"/>
      <c r="V137" s="210"/>
      <c r="W137" s="212"/>
      <c r="X137" s="212"/>
      <c r="Y137" s="214"/>
      <c r="AA137" s="134" t="s">
        <v>918</v>
      </c>
      <c r="AB137" s="135">
        <f>IFERROR(IF(AC137="prof",AC132+AA125,AC132),"")</f>
        <v>4</v>
      </c>
      <c r="AC137" s="137" t="s">
        <v>925</v>
      </c>
      <c r="AD137" s="134" t="s">
        <v>921</v>
      </c>
      <c r="AE137" s="135">
        <f>IFERROR(IF(AF137="prof",AI132+AA125,AI132),"")</f>
        <v>2</v>
      </c>
      <c r="AF137" s="137" t="s">
        <v>932</v>
      </c>
      <c r="AG137" s="209"/>
      <c r="AH137" s="210"/>
      <c r="AI137" s="210"/>
      <c r="AJ137" s="212"/>
      <c r="AK137" s="212"/>
      <c r="AL137" s="214"/>
    </row>
    <row r="138" spans="1:38" ht="17.25" thickBot="1" x14ac:dyDescent="0.35">
      <c r="A138" s="134" t="s">
        <v>919</v>
      </c>
      <c r="B138" s="135">
        <f>IFERROR(IF(C138="prof",E132+A125,E132),"")</f>
        <v>2</v>
      </c>
      <c r="C138" s="137" t="s">
        <v>925</v>
      </c>
      <c r="D138" s="134" t="s">
        <v>927</v>
      </c>
      <c r="E138" s="135">
        <f>IFERROR(IF(F138="prof",K132+A125,K132),"")</f>
        <v>0</v>
      </c>
      <c r="F138" s="136" t="s">
        <v>925</v>
      </c>
      <c r="G138" s="199" t="s">
        <v>915</v>
      </c>
      <c r="H138" s="186"/>
      <c r="I138" s="138">
        <v>0</v>
      </c>
      <c r="J138" s="199" t="s">
        <v>915</v>
      </c>
      <c r="K138" s="186"/>
      <c r="L138" s="139">
        <v>0</v>
      </c>
      <c r="N138" s="134" t="s">
        <v>919</v>
      </c>
      <c r="O138" s="135">
        <f>IFERROR(IF(P138="prof",R132+N125,R132),"")</f>
        <v>1</v>
      </c>
      <c r="P138" s="137" t="s">
        <v>925</v>
      </c>
      <c r="Q138" s="134" t="s">
        <v>927</v>
      </c>
      <c r="R138" s="135">
        <f>IFERROR(IF(S138="prof",X132+N125,X132),"")</f>
        <v>1</v>
      </c>
      <c r="S138" s="136" t="s">
        <v>925</v>
      </c>
      <c r="T138" s="199" t="s">
        <v>915</v>
      </c>
      <c r="U138" s="186"/>
      <c r="V138" s="138">
        <v>0</v>
      </c>
      <c r="W138" s="199" t="s">
        <v>915</v>
      </c>
      <c r="X138" s="186"/>
      <c r="Y138" s="139">
        <v>0</v>
      </c>
      <c r="AA138" s="134" t="s">
        <v>919</v>
      </c>
      <c r="AB138" s="135">
        <f>IFERROR(IF(AC138="prof",AE132+AA125,AE132),"")</f>
        <v>2</v>
      </c>
      <c r="AC138" s="137" t="s">
        <v>925</v>
      </c>
      <c r="AD138" s="134" t="s">
        <v>927</v>
      </c>
      <c r="AE138" s="135">
        <f>IFERROR(IF(AF138="prof",AK132+AA125,AK132),"")</f>
        <v>1</v>
      </c>
      <c r="AF138" s="136" t="s">
        <v>925</v>
      </c>
      <c r="AG138" s="199" t="s">
        <v>915</v>
      </c>
      <c r="AH138" s="186"/>
      <c r="AI138" s="138">
        <v>0</v>
      </c>
      <c r="AJ138" s="199" t="s">
        <v>915</v>
      </c>
      <c r="AK138" s="186"/>
      <c r="AL138" s="139">
        <v>0</v>
      </c>
    </row>
    <row r="139" spans="1:38" ht="15.75" thickBot="1" x14ac:dyDescent="0.3">
      <c r="A139" s="180" t="s">
        <v>928</v>
      </c>
      <c r="B139" s="181"/>
      <c r="C139" s="181"/>
      <c r="D139" s="181"/>
      <c r="E139" s="181"/>
      <c r="F139" s="182"/>
      <c r="G139" s="180" t="s">
        <v>929</v>
      </c>
      <c r="H139" s="181"/>
      <c r="I139" s="181"/>
      <c r="J139" s="181"/>
      <c r="K139" s="181"/>
      <c r="L139" s="182"/>
      <c r="N139" s="180" t="s">
        <v>928</v>
      </c>
      <c r="O139" s="181"/>
      <c r="P139" s="181"/>
      <c r="Q139" s="181"/>
      <c r="R139" s="181"/>
      <c r="S139" s="182"/>
      <c r="T139" s="180" t="s">
        <v>929</v>
      </c>
      <c r="U139" s="181"/>
      <c r="V139" s="181"/>
      <c r="W139" s="181"/>
      <c r="X139" s="181"/>
      <c r="Y139" s="182"/>
      <c r="AA139" s="180" t="s">
        <v>928</v>
      </c>
      <c r="AB139" s="181"/>
      <c r="AC139" s="181"/>
      <c r="AD139" s="181"/>
      <c r="AE139" s="181"/>
      <c r="AF139" s="182"/>
      <c r="AG139" s="180" t="s">
        <v>929</v>
      </c>
      <c r="AH139" s="181"/>
      <c r="AI139" s="181"/>
      <c r="AJ139" s="181"/>
      <c r="AK139" s="181"/>
      <c r="AL139" s="182"/>
    </row>
    <row r="140" spans="1:38" ht="16.5" x14ac:dyDescent="0.3">
      <c r="A140" s="240" t="s">
        <v>1006</v>
      </c>
      <c r="B140" s="241"/>
      <c r="C140" s="185"/>
      <c r="D140" s="140" t="s">
        <v>931</v>
      </c>
      <c r="E140" s="140">
        <f>IF(F140="expert",2,IF(F140="prof",1,0))*A125+VALUE(IF(D140="Str",A132,IF(D140="Dex",C132,IF(D140="Con",E132,IF(D140="Int",G132,IF(D140="Wis",I132,IF(D140="Cha",K132,"")))))))</f>
        <v>5</v>
      </c>
      <c r="F140" s="141" t="s">
        <v>932</v>
      </c>
      <c r="G140" s="205"/>
      <c r="H140" s="206"/>
      <c r="I140" s="142"/>
      <c r="J140" s="206"/>
      <c r="K140" s="206"/>
      <c r="L140" s="143"/>
      <c r="N140" s="240" t="s">
        <v>968</v>
      </c>
      <c r="O140" s="241"/>
      <c r="P140" s="185"/>
      <c r="Q140" s="140" t="s">
        <v>927</v>
      </c>
      <c r="R140" s="140">
        <f>IF(S140="expert",2,IF(S140="prof",1,0))*N125+VALUE(IF(Q140="Str",N132,IF(Q140="Dex",P132,IF(Q140="Con",R132,IF(Q140="Int",T132,IF(Q140="Wis",V132,IF(Q140="Cha",X132,"")))))))</f>
        <v>3</v>
      </c>
      <c r="S140" s="141" t="s">
        <v>932</v>
      </c>
      <c r="T140" s="205"/>
      <c r="U140" s="206"/>
      <c r="V140" s="142"/>
      <c r="W140" s="206"/>
      <c r="X140" s="206"/>
      <c r="Y140" s="143"/>
      <c r="AA140" s="240" t="s">
        <v>968</v>
      </c>
      <c r="AB140" s="241"/>
      <c r="AC140" s="185"/>
      <c r="AD140" s="140" t="s">
        <v>927</v>
      </c>
      <c r="AE140" s="140">
        <f>IF(AF140="expert",2,IF(AF140="prof",1,0))*AA125+VALUE(IF(AD140="Str",AA132,IF(AD140="Dex",AC132,IF(AD140="Con",AE132,IF(AD140="Int",AG132,IF(AD140="Wis",AI132,IF(AD140="Cha",AK132,"")))))))</f>
        <v>3</v>
      </c>
      <c r="AF140" s="141" t="s">
        <v>932</v>
      </c>
      <c r="AG140" s="205"/>
      <c r="AH140" s="206"/>
      <c r="AI140" s="142"/>
      <c r="AJ140" s="206"/>
      <c r="AK140" s="206"/>
      <c r="AL140" s="143"/>
    </row>
    <row r="141" spans="1:38" ht="16.5" x14ac:dyDescent="0.3">
      <c r="A141" s="240" t="s">
        <v>969</v>
      </c>
      <c r="B141" s="241"/>
      <c r="C141" s="185"/>
      <c r="D141" s="140" t="s">
        <v>938</v>
      </c>
      <c r="E141" s="140">
        <f>IF(F141="expert",2,IF(F141="prof",1,0))*A125+VALUE(IF(D141="Str",A132,IF(D141="Dex",C132,IF(D141="Con",E132,IF(D141="Int",G132,IF(D141="Wis",I132,IF(D141="Cha",K132,"")))))))</f>
        <v>2</v>
      </c>
      <c r="F141" s="141" t="s">
        <v>932</v>
      </c>
      <c r="G141" s="199"/>
      <c r="H141" s="186"/>
      <c r="I141" s="137"/>
      <c r="J141" s="186"/>
      <c r="K141" s="186"/>
      <c r="L141" s="141"/>
      <c r="N141" s="240" t="s">
        <v>986</v>
      </c>
      <c r="O141" s="241"/>
      <c r="P141" s="185"/>
      <c r="Q141" s="140" t="s">
        <v>934</v>
      </c>
      <c r="R141" s="140">
        <f>IF(S141="expert",2,IF(S141="prof",1,0))*N125+VALUE(IF(Q141="Str",N132,IF(Q141="Dex",P132,IF(Q141="Con",R132,IF(Q141="Int",T132,IF(Q141="Wis",V132,IF(Q141="Cha",X132,"")))))))</f>
        <v>5</v>
      </c>
      <c r="S141" s="141" t="s">
        <v>932</v>
      </c>
      <c r="T141" s="199"/>
      <c r="U141" s="186"/>
      <c r="V141" s="137"/>
      <c r="W141" s="186"/>
      <c r="X141" s="186"/>
      <c r="Y141" s="141"/>
      <c r="AA141" s="240" t="s">
        <v>986</v>
      </c>
      <c r="AB141" s="241"/>
      <c r="AC141" s="185"/>
      <c r="AD141" s="140" t="s">
        <v>934</v>
      </c>
      <c r="AE141" s="140">
        <f>IF(AF141="expert",2,IF(AF141="prof",1,0))*AA125+VALUE(IF(AD141="Str",AA132,IF(AD141="Dex",AC132,IF(AD141="Con",AE132,IF(AD141="Int",AG132,IF(AD141="Wis",AI132,IF(AD141="Cha",AK132,"")))))))</f>
        <v>6</v>
      </c>
      <c r="AF141" s="141" t="s">
        <v>932</v>
      </c>
      <c r="AG141" s="199"/>
      <c r="AH141" s="186"/>
      <c r="AI141" s="137"/>
      <c r="AJ141" s="186"/>
      <c r="AK141" s="186"/>
      <c r="AL141" s="141"/>
    </row>
    <row r="142" spans="1:38" ht="16.5" x14ac:dyDescent="0.3">
      <c r="A142" s="240" t="s">
        <v>915</v>
      </c>
      <c r="B142" s="241"/>
      <c r="C142" s="185"/>
      <c r="D142" s="140" t="s">
        <v>935</v>
      </c>
      <c r="E142" s="140">
        <f>IF(F142="expert",2,IF(F142="prof",1,0))*A125+VALUE(IF(D142="Str",A132,IF(D142="Dex",C132,IF(D142="Con",E132,IF(D142="Int",G132,IF(D142="Wis",I132,IF(D142="Cha",K132,"")))))))</f>
        <v>2</v>
      </c>
      <c r="F142" s="141" t="s">
        <v>915</v>
      </c>
      <c r="G142" s="199"/>
      <c r="H142" s="186"/>
      <c r="I142" s="137"/>
      <c r="J142" s="186"/>
      <c r="K142" s="186"/>
      <c r="L142" s="141"/>
      <c r="N142" s="240" t="s">
        <v>915</v>
      </c>
      <c r="O142" s="241"/>
      <c r="P142" s="185"/>
      <c r="Q142" s="140" t="s">
        <v>935</v>
      </c>
      <c r="R142" s="140">
        <f>IF(S142="expert",2,IF(S142="prof",1,0))*N125+VALUE(IF(Q142="Str",N132,IF(Q142="Dex",P132,IF(Q142="Con",R132,IF(Q142="Int",T132,IF(Q142="Wis",V132,IF(Q142="Cha",X132,"")))))))</f>
        <v>1</v>
      </c>
      <c r="S142" s="141" t="s">
        <v>915</v>
      </c>
      <c r="T142" s="199"/>
      <c r="U142" s="186"/>
      <c r="V142" s="137"/>
      <c r="W142" s="186"/>
      <c r="X142" s="186"/>
      <c r="Y142" s="141"/>
      <c r="AA142" s="240" t="s">
        <v>915</v>
      </c>
      <c r="AB142" s="241"/>
      <c r="AC142" s="185"/>
      <c r="AD142" s="140" t="s">
        <v>935</v>
      </c>
      <c r="AE142" s="140">
        <f>IF(AF142="expert",2,IF(AF142="prof",1,0))*AA125+VALUE(IF(AD142="Str",AA132,IF(AD142="Dex",AC132,IF(AD142="Con",AE132,IF(AD142="Int",AG132,IF(AD142="Wis",AI132,IF(AD142="Cha",AK132,"")))))))</f>
        <v>2</v>
      </c>
      <c r="AF142" s="141" t="s">
        <v>915</v>
      </c>
      <c r="AG142" s="199"/>
      <c r="AH142" s="186"/>
      <c r="AI142" s="137"/>
      <c r="AJ142" s="186"/>
      <c r="AK142" s="186"/>
      <c r="AL142" s="141"/>
    </row>
    <row r="143" spans="1:38" ht="16.5" x14ac:dyDescent="0.3">
      <c r="A143" s="240" t="s">
        <v>915</v>
      </c>
      <c r="B143" s="241"/>
      <c r="C143" s="185"/>
      <c r="D143" s="140" t="s">
        <v>937</v>
      </c>
      <c r="E143" s="140">
        <f>IF(F143="expert",2,IF(F143="prof",1,0))*A125+VALUE(IF(D143="Str",A132,IF(D143="Dex",C132,IF(D143="Con",E132,IF(D143="Int",G132,IF(D143="Wis",I132,IF(D143="Cha",K132,"")))))))</f>
        <v>0</v>
      </c>
      <c r="F143" s="141" t="s">
        <v>915</v>
      </c>
      <c r="G143" s="199"/>
      <c r="H143" s="186"/>
      <c r="I143" s="137"/>
      <c r="J143" s="186"/>
      <c r="K143" s="186"/>
      <c r="L143" s="141"/>
      <c r="N143" s="240" t="s">
        <v>915</v>
      </c>
      <c r="O143" s="241"/>
      <c r="P143" s="185"/>
      <c r="Q143" s="140" t="s">
        <v>937</v>
      </c>
      <c r="R143" s="140">
        <f>IF(S143="expert",2,IF(S143="prof",1,0))*N125+VALUE(IF(Q143="Str",N132,IF(Q143="Dex",P132,IF(Q143="Con",R132,IF(Q143="Int",T132,IF(Q143="Wis",V132,IF(Q143="Cha",X132,"")))))))</f>
        <v>0</v>
      </c>
      <c r="S143" s="141" t="s">
        <v>915</v>
      </c>
      <c r="T143" s="199"/>
      <c r="U143" s="186"/>
      <c r="V143" s="137"/>
      <c r="W143" s="186"/>
      <c r="X143" s="186"/>
      <c r="Y143" s="141"/>
      <c r="AA143" s="240" t="s">
        <v>915</v>
      </c>
      <c r="AB143" s="241"/>
      <c r="AC143" s="185"/>
      <c r="AD143" s="140" t="s">
        <v>937</v>
      </c>
      <c r="AE143" s="140">
        <f>IF(AF143="expert",2,IF(AF143="prof",1,0))*AA125+VALUE(IF(AD143="Str",AA132,IF(AD143="Dex",AC132,IF(AD143="Con",AE132,IF(AD143="Int",AG132,IF(AD143="Wis",AI132,IF(AD143="Cha",AK132,"")))))))</f>
        <v>0</v>
      </c>
      <c r="AF143" s="141" t="s">
        <v>915</v>
      </c>
      <c r="AG143" s="199"/>
      <c r="AH143" s="186"/>
      <c r="AI143" s="137"/>
      <c r="AJ143" s="186"/>
      <c r="AK143" s="186"/>
      <c r="AL143" s="141"/>
    </row>
    <row r="144" spans="1:38" ht="17.25" thickBot="1" x14ac:dyDescent="0.35">
      <c r="A144" s="240" t="s">
        <v>915</v>
      </c>
      <c r="B144" s="241"/>
      <c r="C144" s="185"/>
      <c r="D144" s="144" t="s">
        <v>938</v>
      </c>
      <c r="E144" s="144">
        <f>IF(F144="expert",2,IF(F144="prof",1,0))*A125+VALUE(IF(D144="Str",A132,IF(D144="Dex",C132,IF(D144="Con",E132,IF(D144="Int",G132,IF(D144="Wis",I132,IF(D144="Cha",K132,"")))))))</f>
        <v>0</v>
      </c>
      <c r="F144" s="145" t="s">
        <v>915</v>
      </c>
      <c r="G144" s="199"/>
      <c r="H144" s="186"/>
      <c r="I144" s="137"/>
      <c r="J144" s="186"/>
      <c r="K144" s="186"/>
      <c r="L144" s="141"/>
      <c r="N144" s="240" t="s">
        <v>915</v>
      </c>
      <c r="O144" s="241"/>
      <c r="P144" s="185"/>
      <c r="Q144" s="144" t="s">
        <v>938</v>
      </c>
      <c r="R144" s="144">
        <f>IF(S144="expert",2,IF(S144="prof",1,0))*N125+VALUE(IF(Q144="Str",N132,IF(Q144="Dex",P132,IF(Q144="Con",R132,IF(Q144="Int",T132,IF(Q144="Wis",V132,IF(Q144="Cha",X132,"")))))))</f>
        <v>0</v>
      </c>
      <c r="S144" s="145" t="s">
        <v>915</v>
      </c>
      <c r="T144" s="199"/>
      <c r="U144" s="186"/>
      <c r="V144" s="137"/>
      <c r="W144" s="186"/>
      <c r="X144" s="186"/>
      <c r="Y144" s="141"/>
      <c r="AA144" s="240" t="s">
        <v>915</v>
      </c>
      <c r="AB144" s="241"/>
      <c r="AC144" s="185"/>
      <c r="AD144" s="144" t="s">
        <v>938</v>
      </c>
      <c r="AE144" s="144">
        <f>IF(AF144="expert",2,IF(AF144="prof",1,0))*AA125+VALUE(IF(AD144="Str",AA132,IF(AD144="Dex",AC132,IF(AD144="Con",AE132,IF(AD144="Int",AG132,IF(AD144="Wis",AI132,IF(AD144="Cha",AK132,"")))))))</f>
        <v>0</v>
      </c>
      <c r="AF144" s="145" t="s">
        <v>915</v>
      </c>
      <c r="AG144" s="199"/>
      <c r="AH144" s="186"/>
      <c r="AI144" s="137"/>
      <c r="AJ144" s="186"/>
      <c r="AK144" s="186"/>
      <c r="AL144" s="141"/>
    </row>
    <row r="145" spans="1:38" ht="17.25" thickBot="1" x14ac:dyDescent="0.35">
      <c r="A145" s="200" t="s">
        <v>939</v>
      </c>
      <c r="B145" s="201"/>
      <c r="C145" s="201"/>
      <c r="D145" s="202"/>
      <c r="E145" s="203" t="s">
        <v>940</v>
      </c>
      <c r="F145" s="204"/>
      <c r="G145" s="185"/>
      <c r="H145" s="186"/>
      <c r="I145" s="137"/>
      <c r="J145" s="186"/>
      <c r="K145" s="186"/>
      <c r="L145" s="141"/>
      <c r="N145" s="200" t="s">
        <v>939</v>
      </c>
      <c r="O145" s="201"/>
      <c r="P145" s="201"/>
      <c r="Q145" s="202"/>
      <c r="R145" s="203" t="s">
        <v>940</v>
      </c>
      <c r="S145" s="204"/>
      <c r="T145" s="185"/>
      <c r="U145" s="186"/>
      <c r="V145" s="137"/>
      <c r="W145" s="186"/>
      <c r="X145" s="186"/>
      <c r="Y145" s="141"/>
      <c r="AA145" s="200" t="s">
        <v>939</v>
      </c>
      <c r="AB145" s="201"/>
      <c r="AC145" s="201"/>
      <c r="AD145" s="202"/>
      <c r="AE145" s="203" t="s">
        <v>940</v>
      </c>
      <c r="AF145" s="204"/>
      <c r="AG145" s="185"/>
      <c r="AH145" s="186"/>
      <c r="AI145" s="137"/>
      <c r="AJ145" s="186"/>
      <c r="AK145" s="186"/>
      <c r="AL145" s="141"/>
    </row>
    <row r="146" spans="1:38" ht="16.5" x14ac:dyDescent="0.3">
      <c r="A146" s="190"/>
      <c r="B146" s="191"/>
      <c r="C146" s="191"/>
      <c r="D146" s="191"/>
      <c r="E146" s="186"/>
      <c r="F146" s="192"/>
      <c r="G146" s="185"/>
      <c r="H146" s="186"/>
      <c r="I146" s="137"/>
      <c r="J146" s="186"/>
      <c r="K146" s="186"/>
      <c r="L146" s="141"/>
      <c r="N146" s="190" t="s">
        <v>988</v>
      </c>
      <c r="O146" s="191"/>
      <c r="P146" s="191"/>
      <c r="Q146" s="191"/>
      <c r="R146" s="186"/>
      <c r="S146" s="192"/>
      <c r="T146" s="185"/>
      <c r="U146" s="186"/>
      <c r="V146" s="137"/>
      <c r="W146" s="186"/>
      <c r="X146" s="186"/>
      <c r="Y146" s="141"/>
      <c r="AA146" s="190" t="s">
        <v>988</v>
      </c>
      <c r="AB146" s="191"/>
      <c r="AC146" s="191"/>
      <c r="AD146" s="191"/>
      <c r="AE146" s="186"/>
      <c r="AF146" s="192"/>
      <c r="AG146" s="185"/>
      <c r="AH146" s="186"/>
      <c r="AI146" s="137"/>
      <c r="AJ146" s="186"/>
      <c r="AK146" s="186"/>
      <c r="AL146" s="141"/>
    </row>
    <row r="147" spans="1:38" ht="17.25" thickBot="1" x14ac:dyDescent="0.35">
      <c r="A147" s="193"/>
      <c r="B147" s="194"/>
      <c r="C147" s="194"/>
      <c r="D147" s="194"/>
      <c r="E147" s="194"/>
      <c r="F147" s="195"/>
      <c r="G147" s="196"/>
      <c r="H147" s="194"/>
      <c r="I147" s="146"/>
      <c r="J147" s="194"/>
      <c r="K147" s="194"/>
      <c r="L147" s="147"/>
      <c r="N147" s="193"/>
      <c r="O147" s="194"/>
      <c r="P147" s="194"/>
      <c r="Q147" s="194"/>
      <c r="R147" s="194"/>
      <c r="S147" s="195"/>
      <c r="T147" s="196"/>
      <c r="U147" s="194"/>
      <c r="V147" s="146"/>
      <c r="W147" s="194"/>
      <c r="X147" s="194"/>
      <c r="Y147" s="147"/>
      <c r="AA147" s="193"/>
      <c r="AB147" s="194"/>
      <c r="AC147" s="194"/>
      <c r="AD147" s="194"/>
      <c r="AE147" s="194"/>
      <c r="AF147" s="195"/>
      <c r="AG147" s="196"/>
      <c r="AH147" s="194"/>
      <c r="AI147" s="146"/>
      <c r="AJ147" s="194"/>
      <c r="AK147" s="194"/>
      <c r="AL147" s="147"/>
    </row>
    <row r="148" spans="1:38" ht="15.75" thickBot="1" x14ac:dyDescent="0.3">
      <c r="A148" s="177" t="s">
        <v>941</v>
      </c>
      <c r="B148" s="178"/>
      <c r="C148" s="178"/>
      <c r="D148" s="178"/>
      <c r="E148" s="178"/>
      <c r="F148" s="179"/>
      <c r="G148" s="180" t="s">
        <v>942</v>
      </c>
      <c r="H148" s="181"/>
      <c r="I148" s="181"/>
      <c r="J148" s="181"/>
      <c r="K148" s="181"/>
      <c r="L148" s="182"/>
      <c r="N148" s="177" t="s">
        <v>941</v>
      </c>
      <c r="O148" s="178"/>
      <c r="P148" s="178"/>
      <c r="Q148" s="178"/>
      <c r="R148" s="178"/>
      <c r="S148" s="179"/>
      <c r="T148" s="180" t="s">
        <v>942</v>
      </c>
      <c r="U148" s="181"/>
      <c r="V148" s="181"/>
      <c r="W148" s="181"/>
      <c r="X148" s="181"/>
      <c r="Y148" s="182"/>
      <c r="AA148" s="177" t="s">
        <v>941</v>
      </c>
      <c r="AB148" s="178"/>
      <c r="AC148" s="178"/>
      <c r="AD148" s="178"/>
      <c r="AE148" s="178"/>
      <c r="AF148" s="179"/>
      <c r="AG148" s="180" t="s">
        <v>942</v>
      </c>
      <c r="AH148" s="181"/>
      <c r="AI148" s="181"/>
      <c r="AJ148" s="181"/>
      <c r="AK148" s="181"/>
      <c r="AL148" s="182"/>
    </row>
    <row r="149" spans="1:38" x14ac:dyDescent="0.25">
      <c r="A149" s="183" t="s">
        <v>943</v>
      </c>
      <c r="B149" s="183"/>
      <c r="C149" s="148" t="s">
        <v>944</v>
      </c>
      <c r="D149" s="149" t="s">
        <v>945</v>
      </c>
      <c r="E149" s="149" t="s">
        <v>946</v>
      </c>
      <c r="F149" s="150" t="s">
        <v>947</v>
      </c>
      <c r="G149" s="168"/>
      <c r="H149" s="169"/>
      <c r="I149" s="169"/>
      <c r="J149" s="169"/>
      <c r="K149" s="169"/>
      <c r="L149" s="170"/>
      <c r="N149" s="183" t="s">
        <v>943</v>
      </c>
      <c r="O149" s="183"/>
      <c r="P149" s="148" t="s">
        <v>944</v>
      </c>
      <c r="Q149" s="149" t="s">
        <v>945</v>
      </c>
      <c r="R149" s="149" t="s">
        <v>946</v>
      </c>
      <c r="S149" s="150" t="s">
        <v>947</v>
      </c>
      <c r="T149" s="168"/>
      <c r="U149" s="169"/>
      <c r="V149" s="169"/>
      <c r="W149" s="169"/>
      <c r="X149" s="169"/>
      <c r="Y149" s="170"/>
      <c r="AA149" s="183" t="s">
        <v>943</v>
      </c>
      <c r="AB149" s="183"/>
      <c r="AC149" s="148" t="s">
        <v>944</v>
      </c>
      <c r="AD149" s="149" t="s">
        <v>945</v>
      </c>
      <c r="AE149" s="149" t="s">
        <v>946</v>
      </c>
      <c r="AF149" s="150" t="s">
        <v>947</v>
      </c>
      <c r="AG149" s="168"/>
      <c r="AH149" s="169"/>
      <c r="AI149" s="169"/>
      <c r="AJ149" s="169"/>
      <c r="AK149" s="169"/>
      <c r="AL149" s="170"/>
    </row>
    <row r="150" spans="1:38" x14ac:dyDescent="0.25">
      <c r="A150" s="186" t="s">
        <v>1007</v>
      </c>
      <c r="B150" s="186"/>
      <c r="C150" s="140">
        <v>2</v>
      </c>
      <c r="D150" s="1" t="s">
        <v>950</v>
      </c>
      <c r="E150" s="151">
        <v>5</v>
      </c>
      <c r="F150" s="65" t="s">
        <v>1008</v>
      </c>
      <c r="G150" s="171"/>
      <c r="H150" s="172"/>
      <c r="I150" s="172"/>
      <c r="J150" s="172"/>
      <c r="K150" s="172"/>
      <c r="L150" s="173"/>
      <c r="N150" s="186" t="s">
        <v>952</v>
      </c>
      <c r="O150" s="186"/>
      <c r="P150" s="140">
        <v>2</v>
      </c>
      <c r="Q150" s="1" t="s">
        <v>950</v>
      </c>
      <c r="R150" s="151">
        <v>5</v>
      </c>
      <c r="S150" s="65" t="s">
        <v>1009</v>
      </c>
      <c r="T150" s="171"/>
      <c r="U150" s="172"/>
      <c r="V150" s="172"/>
      <c r="W150" s="172"/>
      <c r="X150" s="172"/>
      <c r="Y150" s="173"/>
      <c r="AA150" s="186" t="s">
        <v>952</v>
      </c>
      <c r="AB150" s="186"/>
      <c r="AC150" s="140">
        <v>2</v>
      </c>
      <c r="AD150" s="1" t="s">
        <v>950</v>
      </c>
      <c r="AE150" s="151">
        <v>6</v>
      </c>
      <c r="AF150" s="65" t="s">
        <v>1010</v>
      </c>
      <c r="AG150" s="171"/>
      <c r="AH150" s="172"/>
      <c r="AI150" s="172"/>
      <c r="AJ150" s="172"/>
      <c r="AK150" s="172"/>
      <c r="AL150" s="173"/>
    </row>
    <row r="151" spans="1:38" x14ac:dyDescent="0.25">
      <c r="A151" s="186" t="s">
        <v>992</v>
      </c>
      <c r="B151" s="186"/>
      <c r="C151" s="140">
        <v>1</v>
      </c>
      <c r="D151" s="1" t="s">
        <v>950</v>
      </c>
      <c r="E151" s="151">
        <v>5</v>
      </c>
      <c r="F151" s="65" t="s">
        <v>1009</v>
      </c>
      <c r="G151" s="171"/>
      <c r="H151" s="172"/>
      <c r="I151" s="172"/>
      <c r="J151" s="172"/>
      <c r="K151" s="172"/>
      <c r="L151" s="173"/>
      <c r="N151" s="186"/>
      <c r="O151" s="186"/>
      <c r="P151" s="140"/>
      <c r="Q151" s="1" t="s">
        <v>950</v>
      </c>
      <c r="R151" s="151"/>
      <c r="S151" s="65"/>
      <c r="T151" s="171"/>
      <c r="U151" s="172"/>
      <c r="V151" s="172"/>
      <c r="W151" s="172"/>
      <c r="X151" s="172"/>
      <c r="Y151" s="173"/>
      <c r="AA151" s="186"/>
      <c r="AB151" s="186"/>
      <c r="AC151" s="140"/>
      <c r="AD151" s="1" t="s">
        <v>950</v>
      </c>
      <c r="AE151" s="151"/>
      <c r="AF151" s="65"/>
      <c r="AG151" s="171"/>
      <c r="AH151" s="172"/>
      <c r="AI151" s="172"/>
      <c r="AJ151" s="172"/>
      <c r="AK151" s="172"/>
      <c r="AL151" s="173"/>
    </row>
    <row r="152" spans="1:38" x14ac:dyDescent="0.25">
      <c r="A152" s="186" t="s">
        <v>974</v>
      </c>
      <c r="B152" s="186"/>
      <c r="C152" s="140">
        <v>1</v>
      </c>
      <c r="D152" s="1" t="s">
        <v>975</v>
      </c>
      <c r="E152" s="151">
        <v>3</v>
      </c>
      <c r="F152" s="65" t="s">
        <v>976</v>
      </c>
      <c r="G152" s="171"/>
      <c r="H152" s="172"/>
      <c r="I152" s="172"/>
      <c r="J152" s="172"/>
      <c r="K152" s="172"/>
      <c r="L152" s="173"/>
      <c r="N152" s="186"/>
      <c r="O152" s="186"/>
      <c r="P152" s="140"/>
      <c r="Q152" s="1" t="s">
        <v>975</v>
      </c>
      <c r="R152" s="151"/>
      <c r="S152" s="65"/>
      <c r="T152" s="171"/>
      <c r="U152" s="172"/>
      <c r="V152" s="172"/>
      <c r="W152" s="172"/>
      <c r="X152" s="172"/>
      <c r="Y152" s="173"/>
      <c r="AA152" s="186"/>
      <c r="AB152" s="186"/>
      <c r="AC152" s="140"/>
      <c r="AD152" s="1" t="s">
        <v>975</v>
      </c>
      <c r="AE152" s="151"/>
      <c r="AF152" s="65"/>
      <c r="AG152" s="171"/>
      <c r="AH152" s="172"/>
      <c r="AI152" s="172"/>
      <c r="AJ152" s="172"/>
      <c r="AK152" s="172"/>
      <c r="AL152" s="173"/>
    </row>
    <row r="153" spans="1:38" ht="16.5" x14ac:dyDescent="0.3">
      <c r="A153" s="187" t="s">
        <v>959</v>
      </c>
      <c r="B153" s="187"/>
      <c r="C153" s="187"/>
      <c r="D153" s="188" t="s">
        <v>915</v>
      </c>
      <c r="E153" s="189"/>
      <c r="F153" s="189"/>
      <c r="G153" s="171"/>
      <c r="H153" s="172"/>
      <c r="I153" s="172"/>
      <c r="J153" s="172"/>
      <c r="K153" s="172"/>
      <c r="L153" s="173"/>
      <c r="N153" s="187" t="s">
        <v>959</v>
      </c>
      <c r="O153" s="187"/>
      <c r="P153" s="187"/>
      <c r="Q153" s="188" t="s">
        <v>915</v>
      </c>
      <c r="R153" s="189"/>
      <c r="S153" s="189"/>
      <c r="T153" s="171"/>
      <c r="U153" s="172"/>
      <c r="V153" s="172"/>
      <c r="W153" s="172"/>
      <c r="X153" s="172"/>
      <c r="Y153" s="173"/>
      <c r="AA153" s="187" t="s">
        <v>959</v>
      </c>
      <c r="AB153" s="187"/>
      <c r="AC153" s="187"/>
      <c r="AD153" s="188" t="s">
        <v>915</v>
      </c>
      <c r="AE153" s="189"/>
      <c r="AF153" s="189"/>
      <c r="AG153" s="171"/>
      <c r="AH153" s="172"/>
      <c r="AI153" s="172"/>
      <c r="AJ153" s="172"/>
      <c r="AK153" s="172"/>
      <c r="AL153" s="173"/>
    </row>
    <row r="154" spans="1:38" ht="15.75" thickBot="1" x14ac:dyDescent="0.3">
      <c r="A154" s="167" t="s">
        <v>960</v>
      </c>
      <c r="B154" s="167"/>
      <c r="C154" s="144">
        <f>A125+IF(D153="Int",G132,IF(D153="Wis",I132,IF(D153="Cha",K132,0)))</f>
        <v>2</v>
      </c>
      <c r="D154" s="167" t="s">
        <v>961</v>
      </c>
      <c r="E154" s="167"/>
      <c r="F154" s="152">
        <f>8+A125+IF(D153="Int",G132,IF(D153="Wis",I132,IF(D153="Cha",K132,0)))</f>
        <v>10</v>
      </c>
      <c r="G154" s="171"/>
      <c r="H154" s="172"/>
      <c r="I154" s="172"/>
      <c r="J154" s="172"/>
      <c r="K154" s="172"/>
      <c r="L154" s="173"/>
      <c r="N154" s="167" t="s">
        <v>960</v>
      </c>
      <c r="O154" s="167"/>
      <c r="P154" s="144">
        <f>N125+IF(Q153="Int",T132,IF(Q153="Wis",V132,IF(Q153="Cha",X132,0)))</f>
        <v>2</v>
      </c>
      <c r="Q154" s="167" t="s">
        <v>961</v>
      </c>
      <c r="R154" s="167"/>
      <c r="S154" s="152">
        <f>8+N125+IF(Q153="Int",T132,IF(Q153="Wis",V132,IF(Q153="Cha",X132,0)))</f>
        <v>10</v>
      </c>
      <c r="T154" s="171"/>
      <c r="U154" s="172"/>
      <c r="V154" s="172"/>
      <c r="W154" s="172"/>
      <c r="X154" s="172"/>
      <c r="Y154" s="173"/>
      <c r="AA154" s="167" t="s">
        <v>960</v>
      </c>
      <c r="AB154" s="167"/>
      <c r="AC154" s="144">
        <f>AA125+IF(AD153="Int",AG132,IF(AD153="Wis",AI132,IF(AD153="Cha",AK132,0)))</f>
        <v>2</v>
      </c>
      <c r="AD154" s="167" t="s">
        <v>961</v>
      </c>
      <c r="AE154" s="167"/>
      <c r="AF154" s="152">
        <f>8+AA125+IF(AD153="Int",AG132,IF(AD153="Wis",AI132,IF(AD153="Cha",AK132,0)))</f>
        <v>10</v>
      </c>
      <c r="AG154" s="171"/>
      <c r="AH154" s="172"/>
      <c r="AI154" s="172"/>
      <c r="AJ154" s="172"/>
      <c r="AK154" s="172"/>
      <c r="AL154" s="173"/>
    </row>
    <row r="155" spans="1:38" x14ac:dyDescent="0.25">
      <c r="A155" s="168"/>
      <c r="B155" s="169"/>
      <c r="C155" s="169"/>
      <c r="D155" s="169"/>
      <c r="E155" s="169"/>
      <c r="F155" s="170"/>
      <c r="G155" s="171"/>
      <c r="H155" s="172"/>
      <c r="I155" s="172"/>
      <c r="J155" s="172"/>
      <c r="K155" s="172"/>
      <c r="L155" s="173"/>
      <c r="N155" s="168" t="s">
        <v>1011</v>
      </c>
      <c r="O155" s="169"/>
      <c r="P155" s="169"/>
      <c r="Q155" s="169"/>
      <c r="R155" s="169"/>
      <c r="S155" s="170"/>
      <c r="T155" s="171"/>
      <c r="U155" s="172"/>
      <c r="V155" s="172"/>
      <c r="W155" s="172"/>
      <c r="X155" s="172"/>
      <c r="Y155" s="173"/>
      <c r="AA155" s="168" t="s">
        <v>1011</v>
      </c>
      <c r="AB155" s="169"/>
      <c r="AC155" s="169"/>
      <c r="AD155" s="169"/>
      <c r="AE155" s="169"/>
      <c r="AF155" s="170"/>
      <c r="AG155" s="171"/>
      <c r="AH155" s="172"/>
      <c r="AI155" s="172"/>
      <c r="AJ155" s="172"/>
      <c r="AK155" s="172"/>
      <c r="AL155" s="173"/>
    </row>
    <row r="156" spans="1:38" x14ac:dyDescent="0.25">
      <c r="A156" s="171"/>
      <c r="B156" s="172"/>
      <c r="C156" s="172"/>
      <c r="D156" s="172"/>
      <c r="E156" s="172"/>
      <c r="F156" s="173"/>
      <c r="G156" s="171"/>
      <c r="H156" s="172"/>
      <c r="I156" s="172"/>
      <c r="J156" s="172"/>
      <c r="K156" s="172"/>
      <c r="L156" s="173"/>
      <c r="N156" s="171"/>
      <c r="O156" s="172"/>
      <c r="P156" s="172"/>
      <c r="Q156" s="172"/>
      <c r="R156" s="172"/>
      <c r="S156" s="173"/>
      <c r="T156" s="171"/>
      <c r="U156" s="172"/>
      <c r="V156" s="172"/>
      <c r="W156" s="172"/>
      <c r="X156" s="172"/>
      <c r="Y156" s="173"/>
      <c r="AA156" s="171"/>
      <c r="AB156" s="172"/>
      <c r="AC156" s="172"/>
      <c r="AD156" s="172"/>
      <c r="AE156" s="172"/>
      <c r="AF156" s="173"/>
      <c r="AG156" s="171"/>
      <c r="AH156" s="172"/>
      <c r="AI156" s="172"/>
      <c r="AJ156" s="172"/>
      <c r="AK156" s="172"/>
      <c r="AL156" s="173"/>
    </row>
    <row r="157" spans="1:38" x14ac:dyDescent="0.25">
      <c r="A157" s="171"/>
      <c r="B157" s="172"/>
      <c r="C157" s="172"/>
      <c r="D157" s="172"/>
      <c r="E157" s="172"/>
      <c r="F157" s="173"/>
      <c r="G157" s="171"/>
      <c r="H157" s="172"/>
      <c r="I157" s="172"/>
      <c r="J157" s="172"/>
      <c r="K157" s="172"/>
      <c r="L157" s="173"/>
      <c r="N157" s="171"/>
      <c r="O157" s="172"/>
      <c r="P157" s="172"/>
      <c r="Q157" s="172"/>
      <c r="R157" s="172"/>
      <c r="S157" s="173"/>
      <c r="T157" s="171"/>
      <c r="U157" s="172"/>
      <c r="V157" s="172"/>
      <c r="W157" s="172"/>
      <c r="X157" s="172"/>
      <c r="Y157" s="173"/>
      <c r="AA157" s="171"/>
      <c r="AB157" s="172"/>
      <c r="AC157" s="172"/>
      <c r="AD157" s="172"/>
      <c r="AE157" s="172"/>
      <c r="AF157" s="173"/>
      <c r="AG157" s="171"/>
      <c r="AH157" s="172"/>
      <c r="AI157" s="172"/>
      <c r="AJ157" s="172"/>
      <c r="AK157" s="172"/>
      <c r="AL157" s="173"/>
    </row>
    <row r="158" spans="1:38" x14ac:dyDescent="0.25">
      <c r="A158" s="171"/>
      <c r="B158" s="172"/>
      <c r="C158" s="172"/>
      <c r="D158" s="172"/>
      <c r="E158" s="172"/>
      <c r="F158" s="173"/>
      <c r="G158" s="171"/>
      <c r="H158" s="172"/>
      <c r="I158" s="172"/>
      <c r="J158" s="172"/>
      <c r="K158" s="172"/>
      <c r="L158" s="173"/>
      <c r="N158" s="171"/>
      <c r="O158" s="172"/>
      <c r="P158" s="172"/>
      <c r="Q158" s="172"/>
      <c r="R158" s="172"/>
      <c r="S158" s="173"/>
      <c r="T158" s="171"/>
      <c r="U158" s="172"/>
      <c r="V158" s="172"/>
      <c r="W158" s="172"/>
      <c r="X158" s="172"/>
      <c r="Y158" s="173"/>
      <c r="AA158" s="171"/>
      <c r="AB158" s="172"/>
      <c r="AC158" s="172"/>
      <c r="AD158" s="172"/>
      <c r="AE158" s="172"/>
      <c r="AF158" s="173"/>
      <c r="AG158" s="171"/>
      <c r="AH158" s="172"/>
      <c r="AI158" s="172"/>
      <c r="AJ158" s="172"/>
      <c r="AK158" s="172"/>
      <c r="AL158" s="173"/>
    </row>
    <row r="159" spans="1:38" x14ac:dyDescent="0.25">
      <c r="A159" s="171"/>
      <c r="B159" s="172"/>
      <c r="C159" s="172"/>
      <c r="D159" s="172"/>
      <c r="E159" s="172"/>
      <c r="F159" s="173"/>
      <c r="G159" s="171"/>
      <c r="H159" s="172"/>
      <c r="I159" s="172"/>
      <c r="J159" s="172"/>
      <c r="K159" s="172"/>
      <c r="L159" s="173"/>
      <c r="N159" s="171"/>
      <c r="O159" s="172"/>
      <c r="P159" s="172"/>
      <c r="Q159" s="172"/>
      <c r="R159" s="172"/>
      <c r="S159" s="173"/>
      <c r="T159" s="171"/>
      <c r="U159" s="172"/>
      <c r="V159" s="172"/>
      <c r="W159" s="172"/>
      <c r="X159" s="172"/>
      <c r="Y159" s="173"/>
      <c r="AA159" s="171"/>
      <c r="AB159" s="172"/>
      <c r="AC159" s="172"/>
      <c r="AD159" s="172"/>
      <c r="AE159" s="172"/>
      <c r="AF159" s="173"/>
      <c r="AG159" s="171"/>
      <c r="AH159" s="172"/>
      <c r="AI159" s="172"/>
      <c r="AJ159" s="172"/>
      <c r="AK159" s="172"/>
      <c r="AL159" s="173"/>
    </row>
    <row r="160" spans="1:38" x14ac:dyDescent="0.25">
      <c r="A160" s="171"/>
      <c r="B160" s="172"/>
      <c r="C160" s="172"/>
      <c r="D160" s="172"/>
      <c r="E160" s="172"/>
      <c r="F160" s="173"/>
      <c r="G160" s="171"/>
      <c r="H160" s="172"/>
      <c r="I160" s="172"/>
      <c r="J160" s="172"/>
      <c r="K160" s="172"/>
      <c r="L160" s="173"/>
      <c r="N160" s="171"/>
      <c r="O160" s="172"/>
      <c r="P160" s="172"/>
      <c r="Q160" s="172"/>
      <c r="R160" s="172"/>
      <c r="S160" s="173"/>
      <c r="T160" s="171"/>
      <c r="U160" s="172"/>
      <c r="V160" s="172"/>
      <c r="W160" s="172"/>
      <c r="X160" s="172"/>
      <c r="Y160" s="173"/>
      <c r="AA160" s="171"/>
      <c r="AB160" s="172"/>
      <c r="AC160" s="172"/>
      <c r="AD160" s="172"/>
      <c r="AE160" s="172"/>
      <c r="AF160" s="173"/>
      <c r="AG160" s="171"/>
      <c r="AH160" s="172"/>
      <c r="AI160" s="172"/>
      <c r="AJ160" s="172"/>
      <c r="AK160" s="172"/>
      <c r="AL160" s="173"/>
    </row>
    <row r="161" spans="1:38" x14ac:dyDescent="0.25">
      <c r="A161" s="171"/>
      <c r="B161" s="172"/>
      <c r="C161" s="172"/>
      <c r="D161" s="172"/>
      <c r="E161" s="172"/>
      <c r="F161" s="173"/>
      <c r="G161" s="171"/>
      <c r="H161" s="172"/>
      <c r="I161" s="172"/>
      <c r="J161" s="172"/>
      <c r="K161" s="172"/>
      <c r="L161" s="173"/>
      <c r="N161" s="171"/>
      <c r="O161" s="172"/>
      <c r="P161" s="172"/>
      <c r="Q161" s="172"/>
      <c r="R161" s="172"/>
      <c r="S161" s="173"/>
      <c r="T161" s="171"/>
      <c r="U161" s="172"/>
      <c r="V161" s="172"/>
      <c r="W161" s="172"/>
      <c r="X161" s="172"/>
      <c r="Y161" s="173"/>
      <c r="AA161" s="171"/>
      <c r="AB161" s="172"/>
      <c r="AC161" s="172"/>
      <c r="AD161" s="172"/>
      <c r="AE161" s="172"/>
      <c r="AF161" s="173"/>
      <c r="AG161" s="171"/>
      <c r="AH161" s="172"/>
      <c r="AI161" s="172"/>
      <c r="AJ161" s="172"/>
      <c r="AK161" s="172"/>
      <c r="AL161" s="173"/>
    </row>
    <row r="162" spans="1:38" x14ac:dyDescent="0.25">
      <c r="A162" s="171"/>
      <c r="B162" s="172"/>
      <c r="C162" s="172"/>
      <c r="D162" s="172"/>
      <c r="E162" s="172"/>
      <c r="F162" s="173"/>
      <c r="G162" s="171"/>
      <c r="H162" s="172"/>
      <c r="I162" s="172"/>
      <c r="J162" s="172"/>
      <c r="K162" s="172"/>
      <c r="L162" s="173"/>
      <c r="N162" s="171"/>
      <c r="O162" s="172"/>
      <c r="P162" s="172"/>
      <c r="Q162" s="172"/>
      <c r="R162" s="172"/>
      <c r="S162" s="173"/>
      <c r="T162" s="171"/>
      <c r="U162" s="172"/>
      <c r="V162" s="172"/>
      <c r="W162" s="172"/>
      <c r="X162" s="172"/>
      <c r="Y162" s="173"/>
      <c r="AA162" s="171"/>
      <c r="AB162" s="172"/>
      <c r="AC162" s="172"/>
      <c r="AD162" s="172"/>
      <c r="AE162" s="172"/>
      <c r="AF162" s="173"/>
      <c r="AG162" s="171"/>
      <c r="AH162" s="172"/>
      <c r="AI162" s="172"/>
      <c r="AJ162" s="172"/>
      <c r="AK162" s="172"/>
      <c r="AL162" s="173"/>
    </row>
    <row r="163" spans="1:38" ht="15.75" thickBot="1" x14ac:dyDescent="0.3">
      <c r="A163" s="174"/>
      <c r="B163" s="175"/>
      <c r="C163" s="175"/>
      <c r="D163" s="175"/>
      <c r="E163" s="175"/>
      <c r="F163" s="176"/>
      <c r="G163" s="174"/>
      <c r="H163" s="175"/>
      <c r="I163" s="175"/>
      <c r="J163" s="175"/>
      <c r="K163" s="175"/>
      <c r="L163" s="176"/>
      <c r="N163" s="174"/>
      <c r="O163" s="175"/>
      <c r="P163" s="175"/>
      <c r="Q163" s="175"/>
      <c r="R163" s="175"/>
      <c r="S163" s="176"/>
      <c r="T163" s="174"/>
      <c r="U163" s="175"/>
      <c r="V163" s="175"/>
      <c r="W163" s="175"/>
      <c r="X163" s="175"/>
      <c r="Y163" s="176"/>
      <c r="AA163" s="174"/>
      <c r="AB163" s="175"/>
      <c r="AC163" s="175"/>
      <c r="AD163" s="175"/>
      <c r="AE163" s="175"/>
      <c r="AF163" s="176"/>
      <c r="AG163" s="174"/>
      <c r="AH163" s="175"/>
      <c r="AI163" s="175"/>
      <c r="AJ163" s="175"/>
      <c r="AK163" s="175"/>
      <c r="AL163" s="176"/>
    </row>
    <row r="165" spans="1:38" ht="17.25" x14ac:dyDescent="0.25">
      <c r="A165" s="127">
        <v>13</v>
      </c>
      <c r="B165" s="236" t="s">
        <v>1012</v>
      </c>
      <c r="C165" s="236"/>
      <c r="D165" s="236"/>
      <c r="E165" s="236"/>
      <c r="F165" s="236"/>
      <c r="G165" s="236"/>
      <c r="H165" s="236"/>
      <c r="I165" s="236"/>
      <c r="J165" s="236"/>
      <c r="K165" s="236"/>
      <c r="L165" s="236"/>
      <c r="N165" s="127">
        <v>14</v>
      </c>
      <c r="O165" s="236" t="s">
        <v>6</v>
      </c>
      <c r="P165" s="236"/>
      <c r="Q165" s="236"/>
      <c r="R165" s="236"/>
      <c r="S165" s="236"/>
      <c r="T165" s="236"/>
      <c r="U165" s="236"/>
      <c r="V165" s="236"/>
      <c r="W165" s="236"/>
      <c r="X165" s="236"/>
      <c r="Y165" s="236"/>
      <c r="AA165" s="127">
        <v>15</v>
      </c>
      <c r="AB165" s="236" t="s">
        <v>5</v>
      </c>
      <c r="AC165" s="236"/>
      <c r="AD165" s="236"/>
      <c r="AE165" s="236"/>
      <c r="AF165" s="236"/>
      <c r="AG165" s="236"/>
      <c r="AH165" s="236"/>
      <c r="AI165" s="236"/>
      <c r="AJ165" s="236"/>
      <c r="AK165" s="236"/>
      <c r="AL165" s="236"/>
    </row>
    <row r="166" spans="1:38" ht="21" x14ac:dyDescent="0.25">
      <c r="A166" s="128">
        <v>2</v>
      </c>
      <c r="B166" s="236"/>
      <c r="C166" s="236"/>
      <c r="D166" s="236"/>
      <c r="E166" s="236"/>
      <c r="F166" s="236"/>
      <c r="G166" s="236"/>
      <c r="H166" s="236"/>
      <c r="I166" s="236"/>
      <c r="J166" s="236"/>
      <c r="K166" s="236"/>
      <c r="L166" s="236"/>
      <c r="N166" s="128">
        <v>2</v>
      </c>
      <c r="O166" s="236"/>
      <c r="P166" s="236"/>
      <c r="Q166" s="236"/>
      <c r="R166" s="236"/>
      <c r="S166" s="236"/>
      <c r="T166" s="236"/>
      <c r="U166" s="236"/>
      <c r="V166" s="236"/>
      <c r="W166" s="236"/>
      <c r="X166" s="236"/>
      <c r="Y166" s="236"/>
      <c r="AA166" s="128">
        <v>2</v>
      </c>
      <c r="AB166" s="236"/>
      <c r="AC166" s="236"/>
      <c r="AD166" s="236"/>
      <c r="AE166" s="236"/>
      <c r="AF166" s="236"/>
      <c r="AG166" s="236"/>
      <c r="AH166" s="236"/>
      <c r="AI166" s="236"/>
      <c r="AJ166" s="236"/>
      <c r="AK166" s="236"/>
      <c r="AL166" s="236"/>
    </row>
    <row r="167" spans="1:38" ht="16.5" x14ac:dyDescent="0.3">
      <c r="A167" s="237" t="s">
        <v>37</v>
      </c>
      <c r="B167" s="237"/>
      <c r="C167" s="237" t="s">
        <v>18</v>
      </c>
      <c r="D167" s="237"/>
      <c r="E167" s="237" t="s">
        <v>982</v>
      </c>
      <c r="F167" s="237"/>
      <c r="G167" s="238" t="s">
        <v>909</v>
      </c>
      <c r="H167" s="239">
        <v>16</v>
      </c>
      <c r="I167" s="229" t="s">
        <v>1013</v>
      </c>
      <c r="J167" s="230"/>
      <c r="K167" s="230"/>
      <c r="L167" s="231"/>
      <c r="N167" s="237" t="s">
        <v>32</v>
      </c>
      <c r="O167" s="237"/>
      <c r="P167" s="237" t="s">
        <v>18</v>
      </c>
      <c r="Q167" s="237"/>
      <c r="R167" s="237" t="s">
        <v>1014</v>
      </c>
      <c r="S167" s="237"/>
      <c r="T167" s="238" t="s">
        <v>909</v>
      </c>
      <c r="U167" s="239">
        <v>14</v>
      </c>
      <c r="V167" s="229" t="s">
        <v>1015</v>
      </c>
      <c r="W167" s="230"/>
      <c r="X167" s="230"/>
      <c r="Y167" s="231"/>
      <c r="AA167" s="237" t="s">
        <v>32</v>
      </c>
      <c r="AB167" s="237"/>
      <c r="AC167" s="237" t="s">
        <v>18</v>
      </c>
      <c r="AD167" s="237"/>
      <c r="AE167" s="237" t="s">
        <v>1014</v>
      </c>
      <c r="AF167" s="237"/>
      <c r="AG167" s="238" t="s">
        <v>909</v>
      </c>
      <c r="AH167" s="239">
        <v>13</v>
      </c>
      <c r="AI167" s="229" t="s">
        <v>1015</v>
      </c>
      <c r="AJ167" s="230"/>
      <c r="AK167" s="230"/>
      <c r="AL167" s="231"/>
    </row>
    <row r="168" spans="1:38" x14ac:dyDescent="0.25">
      <c r="A168" s="228" t="s">
        <v>2</v>
      </c>
      <c r="B168" s="228"/>
      <c r="C168" s="228" t="s">
        <v>912</v>
      </c>
      <c r="D168" s="228"/>
      <c r="E168" s="228" t="s">
        <v>913</v>
      </c>
      <c r="F168" s="228"/>
      <c r="G168" s="238"/>
      <c r="H168" s="239"/>
      <c r="I168" s="229"/>
      <c r="J168" s="230"/>
      <c r="K168" s="230"/>
      <c r="L168" s="231"/>
      <c r="N168" s="228" t="s">
        <v>2</v>
      </c>
      <c r="O168" s="228"/>
      <c r="P168" s="228" t="s">
        <v>912</v>
      </c>
      <c r="Q168" s="228"/>
      <c r="R168" s="228" t="s">
        <v>913</v>
      </c>
      <c r="S168" s="228"/>
      <c r="T168" s="238"/>
      <c r="U168" s="239"/>
      <c r="V168" s="229"/>
      <c r="W168" s="230"/>
      <c r="X168" s="230"/>
      <c r="Y168" s="231"/>
      <c r="AA168" s="228" t="s">
        <v>2</v>
      </c>
      <c r="AB168" s="228"/>
      <c r="AC168" s="228" t="s">
        <v>912</v>
      </c>
      <c r="AD168" s="228"/>
      <c r="AE168" s="228" t="s">
        <v>913</v>
      </c>
      <c r="AF168" s="228"/>
      <c r="AG168" s="238"/>
      <c r="AH168" s="239"/>
      <c r="AI168" s="229"/>
      <c r="AJ168" s="230"/>
      <c r="AK168" s="230"/>
      <c r="AL168" s="231"/>
    </row>
    <row r="169" spans="1:38" x14ac:dyDescent="0.25">
      <c r="A169" s="232">
        <f>C173</f>
        <v>3</v>
      </c>
      <c r="B169" s="232"/>
      <c r="C169" s="233">
        <v>30</v>
      </c>
      <c r="D169" s="233"/>
      <c r="E169" s="233"/>
      <c r="F169" s="233"/>
      <c r="G169" s="235">
        <v>6</v>
      </c>
      <c r="H169" s="235" t="str">
        <f>IF(C167="Tiny","d4",IF(C167="Small","d6",IF(C167="Medium","d8",IF(C167="Large","d10",IF(C167="Huge","d12",IF(C167="Gargantuan","d20",""))))))</f>
        <v>d8</v>
      </c>
      <c r="I169" s="223">
        <f>IFERROR(G169*E173,0)</f>
        <v>24</v>
      </c>
      <c r="J169" s="224">
        <f>ROUNDDOWN((0.5*(1+VALUE(RIGHT(H169,LEN(H169)-1)))+IF(E173="",0,E173))*G169,0)</f>
        <v>51</v>
      </c>
      <c r="K169" s="224"/>
      <c r="L169" s="225">
        <v>3</v>
      </c>
      <c r="N169" s="232">
        <f>P173</f>
        <v>0</v>
      </c>
      <c r="O169" s="232"/>
      <c r="P169" s="233">
        <v>30</v>
      </c>
      <c r="Q169" s="233"/>
      <c r="R169" s="233"/>
      <c r="S169" s="233"/>
      <c r="T169" s="235">
        <v>7</v>
      </c>
      <c r="U169" s="235" t="str">
        <f>IF(P167="Tiny","d4",IF(P167="Small","d6",IF(P167="Medium","d8",IF(P167="Large","d10",IF(P167="Huge","d12",IF(P167="Gargantuan","d20",""))))))</f>
        <v>d8</v>
      </c>
      <c r="V169" s="223">
        <f>IFERROR(T169*R173,0)</f>
        <v>21</v>
      </c>
      <c r="W169" s="224">
        <f>ROUNDDOWN((0.5*(1+VALUE(RIGHT(U169,LEN(U169)-1)))+IF(R173="",0,R173))*T169,0)</f>
        <v>52</v>
      </c>
      <c r="X169" s="224"/>
      <c r="Y169" s="225">
        <v>2</v>
      </c>
      <c r="AA169" s="232">
        <f>AC173</f>
        <v>2</v>
      </c>
      <c r="AB169" s="232"/>
      <c r="AC169" s="233">
        <v>30</v>
      </c>
      <c r="AD169" s="233"/>
      <c r="AE169" s="233"/>
      <c r="AF169" s="233"/>
      <c r="AG169" s="235">
        <v>4</v>
      </c>
      <c r="AH169" s="235" t="str">
        <f>IF(AC167="Tiny","d4",IF(AC167="Small","d6",IF(AC167="Medium","d8",IF(AC167="Large","d10",IF(AC167="Huge","d12",IF(AC167="Gargantuan","d20",""))))))</f>
        <v>d8</v>
      </c>
      <c r="AI169" s="223">
        <f>IFERROR(AG169*AE173,0)</f>
        <v>8</v>
      </c>
      <c r="AJ169" s="224">
        <f>ROUNDDOWN((0.5*(1+VALUE(RIGHT(AH169,LEN(AH169)-1)))+IF(AE173="",0,AE173))*AG169,0)</f>
        <v>26</v>
      </c>
      <c r="AK169" s="224"/>
      <c r="AL169" s="225">
        <v>0.5</v>
      </c>
    </row>
    <row r="170" spans="1:38" x14ac:dyDescent="0.25">
      <c r="A170" s="232"/>
      <c r="B170" s="232"/>
      <c r="C170" s="234"/>
      <c r="D170" s="234"/>
      <c r="E170" s="234"/>
      <c r="F170" s="234"/>
      <c r="G170" s="235"/>
      <c r="H170" s="235"/>
      <c r="I170" s="223"/>
      <c r="J170" s="224"/>
      <c r="K170" s="224"/>
      <c r="L170" s="225"/>
      <c r="N170" s="232"/>
      <c r="O170" s="232"/>
      <c r="P170" s="234"/>
      <c r="Q170" s="234"/>
      <c r="R170" s="234"/>
      <c r="S170" s="234"/>
      <c r="T170" s="235"/>
      <c r="U170" s="235"/>
      <c r="V170" s="223"/>
      <c r="W170" s="224"/>
      <c r="X170" s="224"/>
      <c r="Y170" s="225"/>
      <c r="AA170" s="232"/>
      <c r="AB170" s="232"/>
      <c r="AC170" s="234"/>
      <c r="AD170" s="234"/>
      <c r="AE170" s="234"/>
      <c r="AF170" s="234"/>
      <c r="AG170" s="235"/>
      <c r="AH170" s="235"/>
      <c r="AI170" s="223"/>
      <c r="AJ170" s="224"/>
      <c r="AK170" s="224"/>
      <c r="AL170" s="225"/>
    </row>
    <row r="171" spans="1:38" ht="15.75" thickBot="1" x14ac:dyDescent="0.3">
      <c r="A171" s="226" t="str">
        <f>"Base Init:"&amp;C173</f>
        <v>Base Init:3</v>
      </c>
      <c r="B171" s="226"/>
      <c r="C171" s="129" t="s">
        <v>914</v>
      </c>
      <c r="D171" s="129" t="s">
        <v>915</v>
      </c>
      <c r="E171" s="129" t="s">
        <v>915</v>
      </c>
      <c r="F171" s="129" t="s">
        <v>915</v>
      </c>
      <c r="G171" s="226" t="s">
        <v>916</v>
      </c>
      <c r="H171" s="226"/>
      <c r="I171" s="226"/>
      <c r="J171" s="226"/>
      <c r="K171" s="226"/>
      <c r="L171" s="129" t="s">
        <v>11</v>
      </c>
      <c r="N171" s="226" t="str">
        <f>"Base Init:"&amp;P173</f>
        <v>Base Init:0</v>
      </c>
      <c r="O171" s="226"/>
      <c r="P171" s="129" t="s">
        <v>914</v>
      </c>
      <c r="Q171" s="129" t="s">
        <v>915</v>
      </c>
      <c r="R171" s="129" t="s">
        <v>915</v>
      </c>
      <c r="S171" s="129" t="s">
        <v>915</v>
      </c>
      <c r="T171" s="226" t="s">
        <v>916</v>
      </c>
      <c r="U171" s="226"/>
      <c r="V171" s="226"/>
      <c r="W171" s="226"/>
      <c r="X171" s="226"/>
      <c r="Y171" s="129" t="s">
        <v>11</v>
      </c>
      <c r="AA171" s="226" t="str">
        <f>"Base Init:"&amp;AC173</f>
        <v>Base Init:2</v>
      </c>
      <c r="AB171" s="226"/>
      <c r="AC171" s="129" t="s">
        <v>914</v>
      </c>
      <c r="AD171" s="129" t="s">
        <v>915</v>
      </c>
      <c r="AE171" s="129" t="s">
        <v>915</v>
      </c>
      <c r="AF171" s="129" t="s">
        <v>915</v>
      </c>
      <c r="AG171" s="226" t="s">
        <v>916</v>
      </c>
      <c r="AH171" s="226"/>
      <c r="AI171" s="226"/>
      <c r="AJ171" s="226"/>
      <c r="AK171" s="226"/>
      <c r="AL171" s="129" t="s">
        <v>11</v>
      </c>
    </row>
    <row r="172" spans="1:38" ht="17.25" x14ac:dyDescent="0.25">
      <c r="A172" s="227">
        <v>18</v>
      </c>
      <c r="B172" s="219"/>
      <c r="C172" s="218">
        <v>16</v>
      </c>
      <c r="D172" s="219"/>
      <c r="E172" s="218">
        <v>18</v>
      </c>
      <c r="F172" s="219"/>
      <c r="G172" s="218">
        <v>10</v>
      </c>
      <c r="H172" s="219"/>
      <c r="I172" s="218">
        <v>12</v>
      </c>
      <c r="J172" s="219"/>
      <c r="K172" s="218">
        <v>7</v>
      </c>
      <c r="L172" s="219"/>
      <c r="N172" s="227">
        <v>16</v>
      </c>
      <c r="O172" s="219"/>
      <c r="P172" s="218">
        <v>11</v>
      </c>
      <c r="Q172" s="219"/>
      <c r="R172" s="218">
        <v>16</v>
      </c>
      <c r="S172" s="219"/>
      <c r="T172" s="218">
        <v>4</v>
      </c>
      <c r="U172" s="219"/>
      <c r="V172" s="218">
        <v>10</v>
      </c>
      <c r="W172" s="219"/>
      <c r="X172" s="218">
        <v>7</v>
      </c>
      <c r="Y172" s="219"/>
      <c r="AA172" s="227">
        <v>13</v>
      </c>
      <c r="AB172" s="219"/>
      <c r="AC172" s="218">
        <v>15</v>
      </c>
      <c r="AD172" s="219"/>
      <c r="AE172" s="218">
        <v>14</v>
      </c>
      <c r="AF172" s="219"/>
      <c r="AG172" s="218">
        <v>4</v>
      </c>
      <c r="AH172" s="219"/>
      <c r="AI172" s="218">
        <v>11</v>
      </c>
      <c r="AJ172" s="219"/>
      <c r="AK172" s="218">
        <v>6</v>
      </c>
      <c r="AL172" s="219"/>
    </row>
    <row r="173" spans="1:38" x14ac:dyDescent="0.25">
      <c r="A173" s="220">
        <f>IF(A172=0,"",IF(A172&gt;10,ROUNDDOWN((A172-10)/2,0),ROUNDUP((A172-10)/2,0)))</f>
        <v>4</v>
      </c>
      <c r="B173" s="221"/>
      <c r="C173" s="222">
        <f>IF(C172=0,"",IF(C172&gt;10,ROUNDDOWN((C172-10)/2,0),ROUNDUP((C172-10)/2,0)))</f>
        <v>3</v>
      </c>
      <c r="D173" s="221"/>
      <c r="E173" s="222">
        <f>IF(E172=0,"",IF(E172&gt;10,ROUNDDOWN((E172-10)/2,0),ROUNDUP((E172-10)/2,0)))</f>
        <v>4</v>
      </c>
      <c r="F173" s="221"/>
      <c r="G173" s="222">
        <f>IF(G172=0,"",IF(G172&gt;10,ROUNDDOWN((G172-10)/2,0),ROUNDUP((G172-10)/2,0)))</f>
        <v>0</v>
      </c>
      <c r="H173" s="221"/>
      <c r="I173" s="222">
        <f>IF(I172=0,"",IF(I172&gt;10,ROUNDDOWN((I172-10)/2,0),ROUNDUP((I172-10)/2,0)))</f>
        <v>1</v>
      </c>
      <c r="J173" s="221"/>
      <c r="K173" s="222">
        <f>IF(K172=0,"",IF(K172&gt;10,ROUNDDOWN((K172-10)/2,0),ROUNDUP((K172-10)/2,0)))</f>
        <v>-2</v>
      </c>
      <c r="L173" s="221"/>
      <c r="N173" s="220">
        <f>IF(N172=0,"",IF(N172&gt;10,ROUNDDOWN((N172-10)/2,0),ROUNDUP((N172-10)/2,0)))</f>
        <v>3</v>
      </c>
      <c r="O173" s="221"/>
      <c r="P173" s="222">
        <f>IF(P172=0,"",IF(P172&gt;10,ROUNDDOWN((P172-10)/2,0),ROUNDUP((P172-10)/2,0)))</f>
        <v>0</v>
      </c>
      <c r="Q173" s="221"/>
      <c r="R173" s="222">
        <f>IF(R172=0,"",IF(R172&gt;10,ROUNDDOWN((R172-10)/2,0),ROUNDUP((R172-10)/2,0)))</f>
        <v>3</v>
      </c>
      <c r="S173" s="221"/>
      <c r="T173" s="222">
        <f>IF(T172=0,"",IF(T172&gt;10,ROUNDDOWN((T172-10)/2,0),ROUNDUP((T172-10)/2,0)))</f>
        <v>-3</v>
      </c>
      <c r="U173" s="221"/>
      <c r="V173" s="222">
        <f>IF(V172=0,"",IF(V172&gt;10,ROUNDDOWN((V172-10)/2,0),ROUNDUP((V172-10)/2,0)))</f>
        <v>0</v>
      </c>
      <c r="W173" s="221"/>
      <c r="X173" s="222">
        <f>IF(X172=0,"",IF(X172&gt;10,ROUNDDOWN((X172-10)/2,0),ROUNDUP((X172-10)/2,0)))</f>
        <v>-2</v>
      </c>
      <c r="Y173" s="221"/>
      <c r="AA173" s="220">
        <f>IF(AA172=0,"",IF(AA172&gt;10,ROUNDDOWN((AA172-10)/2,0),ROUNDUP((AA172-10)/2,0)))</f>
        <v>1</v>
      </c>
      <c r="AB173" s="221"/>
      <c r="AC173" s="222">
        <f>IF(AC172=0,"",IF(AC172&gt;10,ROUNDDOWN((AC172-10)/2,0),ROUNDUP((AC172-10)/2,0)))</f>
        <v>2</v>
      </c>
      <c r="AD173" s="221"/>
      <c r="AE173" s="222">
        <f>IF(AE172=0,"",IF(AE172&gt;10,ROUNDDOWN((AE172-10)/2,0),ROUNDUP((AE172-10)/2,0)))</f>
        <v>2</v>
      </c>
      <c r="AF173" s="221"/>
      <c r="AG173" s="222">
        <f>IF(AG172=0,"",IF(AG172&gt;10,ROUNDDOWN((AG172-10)/2,0),ROUNDUP((AG172-10)/2,0)))</f>
        <v>-3</v>
      </c>
      <c r="AH173" s="221"/>
      <c r="AI173" s="222">
        <f>IF(AI172=0,"",IF(AI172&gt;10,ROUNDDOWN((AI172-10)/2,0),ROUNDUP((AI172-10)/2,0)))</f>
        <v>0</v>
      </c>
      <c r="AJ173" s="221"/>
      <c r="AK173" s="222">
        <f>IF(AK172=0,"",IF(AK172&gt;10,ROUNDDOWN((AK172-10)/2,0),ROUNDUP((AK172-10)/2,0)))</f>
        <v>-2</v>
      </c>
      <c r="AL173" s="221"/>
    </row>
    <row r="174" spans="1:38" x14ac:dyDescent="0.25">
      <c r="A174" s="220"/>
      <c r="B174" s="221"/>
      <c r="C174" s="222"/>
      <c r="D174" s="221"/>
      <c r="E174" s="222"/>
      <c r="F174" s="221"/>
      <c r="G174" s="222"/>
      <c r="H174" s="221"/>
      <c r="I174" s="222"/>
      <c r="J174" s="221"/>
      <c r="K174" s="222"/>
      <c r="L174" s="221"/>
      <c r="N174" s="220"/>
      <c r="O174" s="221"/>
      <c r="P174" s="222"/>
      <c r="Q174" s="221"/>
      <c r="R174" s="222"/>
      <c r="S174" s="221"/>
      <c r="T174" s="222"/>
      <c r="U174" s="221"/>
      <c r="V174" s="222"/>
      <c r="W174" s="221"/>
      <c r="X174" s="222"/>
      <c r="Y174" s="221"/>
      <c r="AA174" s="220"/>
      <c r="AB174" s="221"/>
      <c r="AC174" s="222"/>
      <c r="AD174" s="221"/>
      <c r="AE174" s="222"/>
      <c r="AF174" s="221"/>
      <c r="AG174" s="222"/>
      <c r="AH174" s="221"/>
      <c r="AI174" s="222"/>
      <c r="AJ174" s="221"/>
      <c r="AK174" s="222"/>
      <c r="AL174" s="221"/>
    </row>
    <row r="175" spans="1:38" ht="15.75" thickBot="1" x14ac:dyDescent="0.3">
      <c r="A175" s="215" t="s">
        <v>917</v>
      </c>
      <c r="B175" s="216"/>
      <c r="C175" s="217" t="s">
        <v>918</v>
      </c>
      <c r="D175" s="216"/>
      <c r="E175" s="217" t="s">
        <v>919</v>
      </c>
      <c r="F175" s="216"/>
      <c r="G175" s="217" t="s">
        <v>920</v>
      </c>
      <c r="H175" s="216"/>
      <c r="I175" s="217" t="s">
        <v>921</v>
      </c>
      <c r="J175" s="216"/>
      <c r="K175" s="217" t="s">
        <v>922</v>
      </c>
      <c r="L175" s="216"/>
      <c r="N175" s="215" t="s">
        <v>917</v>
      </c>
      <c r="O175" s="216"/>
      <c r="P175" s="217" t="s">
        <v>918</v>
      </c>
      <c r="Q175" s="216"/>
      <c r="R175" s="217" t="s">
        <v>919</v>
      </c>
      <c r="S175" s="216"/>
      <c r="T175" s="217" t="s">
        <v>920</v>
      </c>
      <c r="U175" s="216"/>
      <c r="V175" s="217" t="s">
        <v>921</v>
      </c>
      <c r="W175" s="216"/>
      <c r="X175" s="217" t="s">
        <v>922</v>
      </c>
      <c r="Y175" s="216"/>
      <c r="AA175" s="215" t="s">
        <v>917</v>
      </c>
      <c r="AB175" s="216"/>
      <c r="AC175" s="217" t="s">
        <v>918</v>
      </c>
      <c r="AD175" s="216"/>
      <c r="AE175" s="217" t="s">
        <v>919</v>
      </c>
      <c r="AF175" s="216"/>
      <c r="AG175" s="217" t="s">
        <v>920</v>
      </c>
      <c r="AH175" s="216"/>
      <c r="AI175" s="217" t="s">
        <v>921</v>
      </c>
      <c r="AJ175" s="216"/>
      <c r="AK175" s="217" t="s">
        <v>922</v>
      </c>
      <c r="AL175" s="216"/>
    </row>
    <row r="176" spans="1:38" ht="15.75" thickBot="1" x14ac:dyDescent="0.3">
      <c r="A176" s="180" t="s">
        <v>923</v>
      </c>
      <c r="B176" s="181"/>
      <c r="C176" s="181"/>
      <c r="D176" s="181"/>
      <c r="E176" s="181"/>
      <c r="F176" s="182"/>
      <c r="G176" s="180" t="s">
        <v>924</v>
      </c>
      <c r="H176" s="181"/>
      <c r="I176" s="181"/>
      <c r="J176" s="181"/>
      <c r="K176" s="181"/>
      <c r="L176" s="182"/>
      <c r="N176" s="180" t="s">
        <v>923</v>
      </c>
      <c r="O176" s="181"/>
      <c r="P176" s="181"/>
      <c r="Q176" s="181"/>
      <c r="R176" s="181"/>
      <c r="S176" s="182"/>
      <c r="T176" s="180" t="s">
        <v>924</v>
      </c>
      <c r="U176" s="181"/>
      <c r="V176" s="181"/>
      <c r="W176" s="181"/>
      <c r="X176" s="181"/>
      <c r="Y176" s="182"/>
      <c r="AA176" s="180" t="s">
        <v>923</v>
      </c>
      <c r="AB176" s="181"/>
      <c r="AC176" s="181"/>
      <c r="AD176" s="181"/>
      <c r="AE176" s="181"/>
      <c r="AF176" s="182"/>
      <c r="AG176" s="180" t="s">
        <v>924</v>
      </c>
      <c r="AH176" s="181"/>
      <c r="AI176" s="181"/>
      <c r="AJ176" s="181"/>
      <c r="AK176" s="181"/>
      <c r="AL176" s="182"/>
    </row>
    <row r="177" spans="1:38" ht="16.5" x14ac:dyDescent="0.3">
      <c r="A177" s="131" t="s">
        <v>917</v>
      </c>
      <c r="B177" s="132">
        <f>IFERROR(IF(C177="prof",A173+A166,A173),"")</f>
        <v>6</v>
      </c>
      <c r="C177" s="133" t="s">
        <v>932</v>
      </c>
      <c r="D177" s="134" t="s">
        <v>920</v>
      </c>
      <c r="E177" s="135">
        <f>IFERROR(IF(F177="prof",G173+A166,G173),"")</f>
        <v>0</v>
      </c>
      <c r="F177" s="136" t="s">
        <v>925</v>
      </c>
      <c r="G177" s="207" t="s">
        <v>926</v>
      </c>
      <c r="H177" s="208"/>
      <c r="I177" s="208"/>
      <c r="J177" s="211">
        <f>IFERROR(IF(L177="prof",I173+A166+10,I173+10),"")</f>
        <v>11</v>
      </c>
      <c r="K177" s="211"/>
      <c r="L177" s="213" t="s">
        <v>925</v>
      </c>
      <c r="N177" s="131" t="s">
        <v>917</v>
      </c>
      <c r="O177" s="132">
        <f>IFERROR(IF(P177="prof",N173+N166,N173),"")</f>
        <v>5</v>
      </c>
      <c r="P177" s="133" t="s">
        <v>932</v>
      </c>
      <c r="Q177" s="134" t="s">
        <v>920</v>
      </c>
      <c r="R177" s="135">
        <f>IFERROR(IF(S177="prof",T173+N166,T173),"")</f>
        <v>-3</v>
      </c>
      <c r="S177" s="136" t="s">
        <v>925</v>
      </c>
      <c r="T177" s="207" t="s">
        <v>926</v>
      </c>
      <c r="U177" s="208"/>
      <c r="V177" s="208"/>
      <c r="W177" s="211">
        <f>IFERROR(IF(Y177="prof",V173+N166+10,V173+10),"")</f>
        <v>12</v>
      </c>
      <c r="X177" s="211"/>
      <c r="Y177" s="213" t="s">
        <v>932</v>
      </c>
      <c r="AA177" s="131" t="s">
        <v>917</v>
      </c>
      <c r="AB177" s="132">
        <f>IFERROR(IF(AC177="prof",AA173+AA166,AA173),"")</f>
        <v>3</v>
      </c>
      <c r="AC177" s="133" t="s">
        <v>932</v>
      </c>
      <c r="AD177" s="134" t="s">
        <v>920</v>
      </c>
      <c r="AE177" s="135">
        <f>IFERROR(IF(AF177="prof",AG173+AA166,AG173),"")</f>
        <v>-3</v>
      </c>
      <c r="AF177" s="136" t="s">
        <v>925</v>
      </c>
      <c r="AG177" s="207" t="s">
        <v>926</v>
      </c>
      <c r="AH177" s="208"/>
      <c r="AI177" s="208"/>
      <c r="AJ177" s="211">
        <f>IFERROR(IF(AL177="prof",AI173+AA166+10,AI173+10),"")</f>
        <v>12</v>
      </c>
      <c r="AK177" s="211"/>
      <c r="AL177" s="213" t="s">
        <v>932</v>
      </c>
    </row>
    <row r="178" spans="1:38" ht="16.5" x14ac:dyDescent="0.3">
      <c r="A178" s="134" t="s">
        <v>918</v>
      </c>
      <c r="B178" s="135">
        <f>IFERROR(IF(C178="prof",C173+A166,C173),"")</f>
        <v>3</v>
      </c>
      <c r="C178" s="137" t="s">
        <v>925</v>
      </c>
      <c r="D178" s="134" t="s">
        <v>921</v>
      </c>
      <c r="E178" s="135">
        <f>IFERROR(IF(F178="prof",I173+A166,I173),"")</f>
        <v>3</v>
      </c>
      <c r="F178" s="137" t="s">
        <v>932</v>
      </c>
      <c r="G178" s="209"/>
      <c r="H178" s="210"/>
      <c r="I178" s="210"/>
      <c r="J178" s="212"/>
      <c r="K178" s="212"/>
      <c r="L178" s="214"/>
      <c r="N178" s="134" t="s">
        <v>918</v>
      </c>
      <c r="O178" s="135">
        <f>IFERROR(IF(P178="prof",P173+N166,P173),"")</f>
        <v>0</v>
      </c>
      <c r="P178" s="137" t="s">
        <v>925</v>
      </c>
      <c r="Q178" s="134" t="s">
        <v>921</v>
      </c>
      <c r="R178" s="135">
        <f>IFERROR(IF(S178="prof",V173+N166,V173),"")</f>
        <v>2</v>
      </c>
      <c r="S178" s="137" t="s">
        <v>932</v>
      </c>
      <c r="T178" s="209"/>
      <c r="U178" s="210"/>
      <c r="V178" s="210"/>
      <c r="W178" s="212"/>
      <c r="X178" s="212"/>
      <c r="Y178" s="214"/>
      <c r="AA178" s="134" t="s">
        <v>918</v>
      </c>
      <c r="AB178" s="135">
        <f>IFERROR(IF(AC178="prof",AC173+AA166,AC173),"")</f>
        <v>2</v>
      </c>
      <c r="AC178" s="137" t="s">
        <v>925</v>
      </c>
      <c r="AD178" s="134" t="s">
        <v>921</v>
      </c>
      <c r="AE178" s="135">
        <f>IFERROR(IF(AF178="prof",AI173+AA166,AI173),"")</f>
        <v>2</v>
      </c>
      <c r="AF178" s="137" t="s">
        <v>932</v>
      </c>
      <c r="AG178" s="209"/>
      <c r="AH178" s="210"/>
      <c r="AI178" s="210"/>
      <c r="AJ178" s="212"/>
      <c r="AK178" s="212"/>
      <c r="AL178" s="214"/>
    </row>
    <row r="179" spans="1:38" ht="17.25" thickBot="1" x14ac:dyDescent="0.35">
      <c r="A179" s="134" t="s">
        <v>919</v>
      </c>
      <c r="B179" s="135">
        <f>IFERROR(IF(C179="prof",E173+A166,E173),"")</f>
        <v>6</v>
      </c>
      <c r="C179" s="137" t="s">
        <v>932</v>
      </c>
      <c r="D179" s="134" t="s">
        <v>927</v>
      </c>
      <c r="E179" s="135">
        <f>IFERROR(IF(F179="prof",K173+A166,K173),"")</f>
        <v>-2</v>
      </c>
      <c r="F179" s="136" t="s">
        <v>925</v>
      </c>
      <c r="G179" s="199" t="s">
        <v>915</v>
      </c>
      <c r="H179" s="186"/>
      <c r="I179" s="138">
        <v>0</v>
      </c>
      <c r="J179" s="199" t="s">
        <v>915</v>
      </c>
      <c r="K179" s="186"/>
      <c r="L179" s="139">
        <v>0</v>
      </c>
      <c r="N179" s="134" t="s">
        <v>919</v>
      </c>
      <c r="O179" s="135">
        <f>IFERROR(IF(P179="prof",R173+N166,R173),"")</f>
        <v>5</v>
      </c>
      <c r="P179" s="137" t="s">
        <v>932</v>
      </c>
      <c r="Q179" s="134" t="s">
        <v>927</v>
      </c>
      <c r="R179" s="135">
        <f>IFERROR(IF(S179="prof",X173+N166,X173),"")</f>
        <v>-2</v>
      </c>
      <c r="S179" s="136" t="s">
        <v>925</v>
      </c>
      <c r="T179" s="199" t="s">
        <v>983</v>
      </c>
      <c r="U179" s="186"/>
      <c r="V179" s="138">
        <v>60</v>
      </c>
      <c r="W179" s="199" t="s">
        <v>915</v>
      </c>
      <c r="X179" s="186"/>
      <c r="Y179" s="139">
        <v>0</v>
      </c>
      <c r="AA179" s="134" t="s">
        <v>919</v>
      </c>
      <c r="AB179" s="135">
        <f>IFERROR(IF(AC179="prof",AE173+AA166,AE173),"")</f>
        <v>4</v>
      </c>
      <c r="AC179" s="137" t="s">
        <v>932</v>
      </c>
      <c r="AD179" s="134" t="s">
        <v>927</v>
      </c>
      <c r="AE179" s="135">
        <f>IFERROR(IF(AF179="prof",AK173+AA166,AK173),"")</f>
        <v>-2</v>
      </c>
      <c r="AF179" s="136" t="s">
        <v>925</v>
      </c>
      <c r="AG179" s="199" t="s">
        <v>983</v>
      </c>
      <c r="AH179" s="186"/>
      <c r="AI179" s="138">
        <v>60</v>
      </c>
      <c r="AJ179" s="199" t="s">
        <v>915</v>
      </c>
      <c r="AK179" s="186"/>
      <c r="AL179" s="139">
        <v>0</v>
      </c>
    </row>
    <row r="180" spans="1:38" ht="15.75" thickBot="1" x14ac:dyDescent="0.3">
      <c r="A180" s="180" t="s">
        <v>928</v>
      </c>
      <c r="B180" s="181"/>
      <c r="C180" s="181"/>
      <c r="D180" s="181"/>
      <c r="E180" s="181"/>
      <c r="F180" s="182"/>
      <c r="G180" s="180" t="s">
        <v>929</v>
      </c>
      <c r="H180" s="181"/>
      <c r="I180" s="181"/>
      <c r="J180" s="181"/>
      <c r="K180" s="181"/>
      <c r="L180" s="182"/>
      <c r="N180" s="180" t="s">
        <v>928</v>
      </c>
      <c r="O180" s="181"/>
      <c r="P180" s="181"/>
      <c r="Q180" s="181"/>
      <c r="R180" s="181"/>
      <c r="S180" s="182"/>
      <c r="T180" s="180" t="s">
        <v>929</v>
      </c>
      <c r="U180" s="181"/>
      <c r="V180" s="181"/>
      <c r="W180" s="181"/>
      <c r="X180" s="181"/>
      <c r="Y180" s="182"/>
      <c r="AA180" s="180" t="s">
        <v>928</v>
      </c>
      <c r="AB180" s="181"/>
      <c r="AC180" s="181"/>
      <c r="AD180" s="181"/>
      <c r="AE180" s="181"/>
      <c r="AF180" s="182"/>
      <c r="AG180" s="180" t="s">
        <v>929</v>
      </c>
      <c r="AH180" s="181"/>
      <c r="AI180" s="181"/>
      <c r="AJ180" s="181"/>
      <c r="AK180" s="181"/>
      <c r="AL180" s="182"/>
    </row>
    <row r="181" spans="1:38" ht="16.5" x14ac:dyDescent="0.3">
      <c r="A181" s="199" t="s">
        <v>1006</v>
      </c>
      <c r="B181" s="186"/>
      <c r="C181" s="186"/>
      <c r="D181" s="140" t="s">
        <v>931</v>
      </c>
      <c r="E181" s="140">
        <f>IF(F181="expert",2,IF(F181="prof",1,0))*A166+VALUE(IF(D181="Str",A173,IF(D181="Dex",C173,IF(D181="Con",E173,IF(D181="Int",G173,IF(D181="Wis",I173,IF(D181="Cha",K173,"")))))))</f>
        <v>6</v>
      </c>
      <c r="F181" s="141" t="s">
        <v>932</v>
      </c>
      <c r="G181" s="205"/>
      <c r="H181" s="206"/>
      <c r="I181" s="142"/>
      <c r="J181" s="206"/>
      <c r="K181" s="206"/>
      <c r="L181" s="143"/>
      <c r="N181" s="240" t="s">
        <v>915</v>
      </c>
      <c r="O181" s="241"/>
      <c r="P181" s="185"/>
      <c r="Q181" s="140" t="s">
        <v>931</v>
      </c>
      <c r="R181" s="140">
        <f>IF(S181="expert",2,IF(S181="prof",1,0))*N166+VALUE(IF(Q181="Str",N173,IF(Q181="Dex",P173,IF(Q181="Con",R173,IF(Q181="Int",T173,IF(Q181="Wis",V173,IF(Q181="Cha",X173,"")))))))</f>
        <v>3</v>
      </c>
      <c r="S181" s="141" t="s">
        <v>915</v>
      </c>
      <c r="T181" s="205" t="s">
        <v>1016</v>
      </c>
      <c r="U181" s="206"/>
      <c r="V181" s="142" t="s">
        <v>1017</v>
      </c>
      <c r="W181" s="206"/>
      <c r="X181" s="206"/>
      <c r="Y181" s="143"/>
      <c r="AA181" s="240" t="s">
        <v>969</v>
      </c>
      <c r="AB181" s="241"/>
      <c r="AC181" s="185"/>
      <c r="AD181" s="140" t="s">
        <v>938</v>
      </c>
      <c r="AE181" s="140">
        <f>IF(AF181="expert",2,IF(AF181="prof",1,0))*AA166+VALUE(IF(AD181="Str",AA173,IF(AD181="Dex",AC173,IF(AD181="Con",AE173,IF(AD181="Int",AG173,IF(AD181="Wis",AI173,IF(AD181="Cha",AK173,"")))))))</f>
        <v>0</v>
      </c>
      <c r="AF181" s="141" t="s">
        <v>915</v>
      </c>
      <c r="AG181" s="205" t="s">
        <v>1018</v>
      </c>
      <c r="AH181" s="206"/>
      <c r="AI181" s="142" t="s">
        <v>1017</v>
      </c>
      <c r="AJ181" s="206"/>
      <c r="AK181" s="206"/>
      <c r="AL181" s="143"/>
    </row>
    <row r="182" spans="1:38" ht="16.5" x14ac:dyDescent="0.3">
      <c r="A182" s="199" t="s">
        <v>986</v>
      </c>
      <c r="B182" s="186"/>
      <c r="C182" s="186"/>
      <c r="D182" s="140" t="s">
        <v>934</v>
      </c>
      <c r="E182" s="140">
        <f>IF(F182="expert",2,IF(F182="prof",1,0))*A166+VALUE(IF(D182="Str",A173,IF(D182="Dex",C173,IF(D182="Con",E173,IF(D182="Int",G173,IF(D182="Wis",I173,IF(D182="Cha",K173,"")))))))</f>
        <v>5</v>
      </c>
      <c r="F182" s="141" t="s">
        <v>932</v>
      </c>
      <c r="G182" s="199"/>
      <c r="H182" s="186"/>
      <c r="I182" s="137"/>
      <c r="J182" s="186"/>
      <c r="K182" s="186"/>
      <c r="L182" s="141"/>
      <c r="N182" s="240" t="s">
        <v>915</v>
      </c>
      <c r="O182" s="241"/>
      <c r="P182" s="185"/>
      <c r="Q182" s="140" t="s">
        <v>934</v>
      </c>
      <c r="R182" s="140">
        <f>IF(S182="expert",2,IF(S182="prof",1,0))*N166+VALUE(IF(Q182="Str",N173,IF(Q182="Dex",P173,IF(Q182="Con",R173,IF(Q182="Int",T173,IF(Q182="Wis",V173,IF(Q182="Cha",X173,"")))))))</f>
        <v>0</v>
      </c>
      <c r="S182" s="141" t="s">
        <v>915</v>
      </c>
      <c r="T182" s="199"/>
      <c r="U182" s="186"/>
      <c r="V182" s="137"/>
      <c r="W182" s="186"/>
      <c r="X182" s="186"/>
      <c r="Y182" s="141"/>
      <c r="AA182" s="240" t="s">
        <v>986</v>
      </c>
      <c r="AB182" s="241"/>
      <c r="AC182" s="185"/>
      <c r="AD182" s="140" t="s">
        <v>934</v>
      </c>
      <c r="AE182" s="140">
        <f>IF(AF182="expert",2,IF(AF182="prof",1,0))*AA166+VALUE(IF(AD182="Str",AA173,IF(AD182="Dex",AC173,IF(AD182="Con",AE173,IF(AD182="Int",AG173,IF(AD182="Wis",AI173,IF(AD182="Cha",AK173,"")))))))</f>
        <v>2</v>
      </c>
      <c r="AF182" s="141" t="s">
        <v>915</v>
      </c>
      <c r="AG182" s="199"/>
      <c r="AH182" s="186"/>
      <c r="AI182" s="137"/>
      <c r="AJ182" s="186"/>
      <c r="AK182" s="186"/>
      <c r="AL182" s="141"/>
    </row>
    <row r="183" spans="1:38" ht="16.5" x14ac:dyDescent="0.3">
      <c r="A183" s="199" t="s">
        <v>987</v>
      </c>
      <c r="B183" s="186"/>
      <c r="C183" s="186"/>
      <c r="D183" s="140" t="s">
        <v>935</v>
      </c>
      <c r="E183" s="140">
        <f>IF(F183="expert",2,IF(F183="prof",1,0))*A166+VALUE(IF(D183="Str",A173,IF(D183="Dex",C173,IF(D183="Con",E173,IF(D183="Int",G173,IF(D183="Wis",I173,IF(D183="Cha",K173,"")))))))</f>
        <v>6</v>
      </c>
      <c r="F183" s="141" t="s">
        <v>932</v>
      </c>
      <c r="G183" s="199"/>
      <c r="H183" s="186"/>
      <c r="I183" s="137"/>
      <c r="J183" s="186"/>
      <c r="K183" s="186"/>
      <c r="L183" s="141"/>
      <c r="N183" s="240" t="s">
        <v>915</v>
      </c>
      <c r="O183" s="241"/>
      <c r="P183" s="185"/>
      <c r="Q183" s="140" t="s">
        <v>935</v>
      </c>
      <c r="R183" s="140">
        <f>IF(S183="expert",2,IF(S183="prof",1,0))*N166+VALUE(IF(Q183="Str",N173,IF(Q183="Dex",P173,IF(Q183="Con",R173,IF(Q183="Int",T173,IF(Q183="Wis",V173,IF(Q183="Cha",X173,"")))))))</f>
        <v>3</v>
      </c>
      <c r="S183" s="141" t="s">
        <v>915</v>
      </c>
      <c r="T183" s="199"/>
      <c r="U183" s="186"/>
      <c r="V183" s="137"/>
      <c r="W183" s="186"/>
      <c r="X183" s="186"/>
      <c r="Y183" s="141"/>
      <c r="AA183" s="240" t="s">
        <v>915</v>
      </c>
      <c r="AB183" s="241"/>
      <c r="AC183" s="185"/>
      <c r="AD183" s="140" t="s">
        <v>935</v>
      </c>
      <c r="AE183" s="140">
        <f>IF(AF183="expert",2,IF(AF183="prof",1,0))*AA166+VALUE(IF(AD183="Str",AA173,IF(AD183="Dex",AC173,IF(AD183="Con",AE173,IF(AD183="Int",AG173,IF(AD183="Wis",AI173,IF(AD183="Cha",AK173,"")))))))</f>
        <v>2</v>
      </c>
      <c r="AF183" s="141" t="s">
        <v>915</v>
      </c>
      <c r="AG183" s="199"/>
      <c r="AH183" s="186"/>
      <c r="AI183" s="137"/>
      <c r="AJ183" s="186"/>
      <c r="AK183" s="186"/>
      <c r="AL183" s="141"/>
    </row>
    <row r="184" spans="1:38" ht="16.5" x14ac:dyDescent="0.3">
      <c r="A184" s="199" t="s">
        <v>936</v>
      </c>
      <c r="B184" s="186"/>
      <c r="C184" s="186"/>
      <c r="D184" s="140" t="s">
        <v>935</v>
      </c>
      <c r="E184" s="140">
        <f>IF(F184="expert",2,IF(F184="prof",1,0))*A166+VALUE(IF(D184="Str",A173,IF(D184="Dex",C173,IF(D184="Con",E173,IF(D184="Int",G173,IF(D184="Wis",I173,IF(D184="Cha",K173,"")))))))</f>
        <v>4</v>
      </c>
      <c r="F184" s="141" t="s">
        <v>915</v>
      </c>
      <c r="G184" s="199"/>
      <c r="H184" s="186"/>
      <c r="I184" s="137"/>
      <c r="J184" s="186"/>
      <c r="K184" s="186"/>
      <c r="L184" s="141"/>
      <c r="N184" s="240" t="s">
        <v>915</v>
      </c>
      <c r="O184" s="241"/>
      <c r="P184" s="185"/>
      <c r="Q184" s="140" t="s">
        <v>935</v>
      </c>
      <c r="R184" s="140">
        <f>IF(S184="expert",2,IF(S184="prof",1,0))*N166+VALUE(IF(Q184="Str",N173,IF(Q184="Dex",P173,IF(Q184="Con",R173,IF(Q184="Int",T173,IF(Q184="Wis",V173,IF(Q184="Cha",X173,"")))))))</f>
        <v>3</v>
      </c>
      <c r="S184" s="141" t="s">
        <v>915</v>
      </c>
      <c r="T184" s="199"/>
      <c r="U184" s="186"/>
      <c r="V184" s="137"/>
      <c r="W184" s="186"/>
      <c r="X184" s="186"/>
      <c r="Y184" s="141"/>
      <c r="AA184" s="240" t="s">
        <v>915</v>
      </c>
      <c r="AB184" s="241"/>
      <c r="AC184" s="185"/>
      <c r="AD184" s="140" t="s">
        <v>935</v>
      </c>
      <c r="AE184" s="140">
        <f>IF(AF184="expert",2,IF(AF184="prof",1,0))*AA166+VALUE(IF(AD184="Str",AA173,IF(AD184="Dex",AC173,IF(AD184="Con",AE173,IF(AD184="Int",AG173,IF(AD184="Wis",AI173,IF(AD184="Cha",AK173,"")))))))</f>
        <v>2</v>
      </c>
      <c r="AF184" s="141" t="s">
        <v>915</v>
      </c>
      <c r="AG184" s="199"/>
      <c r="AH184" s="186"/>
      <c r="AI184" s="137"/>
      <c r="AJ184" s="186"/>
      <c r="AK184" s="186"/>
      <c r="AL184" s="141"/>
    </row>
    <row r="185" spans="1:38" ht="17.25" thickBot="1" x14ac:dyDescent="0.35">
      <c r="A185" s="197" t="s">
        <v>936</v>
      </c>
      <c r="B185" s="198"/>
      <c r="C185" s="198"/>
      <c r="D185" s="144" t="s">
        <v>938</v>
      </c>
      <c r="E185" s="144">
        <f>IF(F185="expert",2,IF(F185="prof",1,0))*A166+VALUE(IF(D185="Str",A173,IF(D185="Dex",C173,IF(D185="Con",E173,IF(D185="Int",G173,IF(D185="Wis",I173,IF(D185="Cha",K173,"")))))))</f>
        <v>3</v>
      </c>
      <c r="F185" s="145" t="s">
        <v>932</v>
      </c>
      <c r="G185" s="199"/>
      <c r="H185" s="186"/>
      <c r="I185" s="137"/>
      <c r="J185" s="186"/>
      <c r="K185" s="186"/>
      <c r="L185" s="141"/>
      <c r="N185" s="240" t="s">
        <v>915</v>
      </c>
      <c r="O185" s="241"/>
      <c r="P185" s="185"/>
      <c r="Q185" s="144" t="s">
        <v>938</v>
      </c>
      <c r="R185" s="144">
        <f>IF(S185="expert",2,IF(S185="prof",1,0))*N166+VALUE(IF(Q185="Str",N173,IF(Q185="Dex",P173,IF(Q185="Con",R173,IF(Q185="Int",T173,IF(Q185="Wis",V173,IF(Q185="Cha",X173,"")))))))</f>
        <v>0</v>
      </c>
      <c r="S185" s="141" t="s">
        <v>915</v>
      </c>
      <c r="T185" s="199"/>
      <c r="U185" s="186"/>
      <c r="V185" s="137"/>
      <c r="W185" s="186"/>
      <c r="X185" s="186"/>
      <c r="Y185" s="141"/>
      <c r="AA185" s="240" t="s">
        <v>915</v>
      </c>
      <c r="AB185" s="241"/>
      <c r="AC185" s="185"/>
      <c r="AD185" s="144" t="s">
        <v>938</v>
      </c>
      <c r="AE185" s="144">
        <f>IF(AF185="expert",2,IF(AF185="prof",1,0))*AA166+VALUE(IF(AD185="Str",AA173,IF(AD185="Dex",AC173,IF(AD185="Con",AE173,IF(AD185="Int",AG173,IF(AD185="Wis",AI173,IF(AD185="Cha",AK173,"")))))))</f>
        <v>0</v>
      </c>
      <c r="AF185" s="141" t="s">
        <v>915</v>
      </c>
      <c r="AG185" s="199"/>
      <c r="AH185" s="186"/>
      <c r="AI185" s="137"/>
      <c r="AJ185" s="186"/>
      <c r="AK185" s="186"/>
      <c r="AL185" s="141"/>
    </row>
    <row r="186" spans="1:38" ht="17.25" thickBot="1" x14ac:dyDescent="0.35">
      <c r="A186" s="200" t="s">
        <v>939</v>
      </c>
      <c r="B186" s="201"/>
      <c r="C186" s="201"/>
      <c r="D186" s="202"/>
      <c r="E186" s="203" t="s">
        <v>940</v>
      </c>
      <c r="F186" s="204"/>
      <c r="G186" s="185"/>
      <c r="H186" s="186"/>
      <c r="I186" s="137"/>
      <c r="J186" s="186"/>
      <c r="K186" s="186"/>
      <c r="L186" s="141"/>
      <c r="N186" s="200" t="s">
        <v>939</v>
      </c>
      <c r="O186" s="201"/>
      <c r="P186" s="201"/>
      <c r="Q186" s="202"/>
      <c r="R186" s="203" t="s">
        <v>988</v>
      </c>
      <c r="S186" s="204"/>
      <c r="T186" s="185"/>
      <c r="U186" s="186"/>
      <c r="V186" s="137"/>
      <c r="W186" s="186"/>
      <c r="X186" s="186"/>
      <c r="Y186" s="141"/>
      <c r="AA186" s="200" t="s">
        <v>939</v>
      </c>
      <c r="AB186" s="201"/>
      <c r="AC186" s="201"/>
      <c r="AD186" s="202"/>
      <c r="AE186" s="203" t="s">
        <v>988</v>
      </c>
      <c r="AF186" s="204"/>
      <c r="AG186" s="185"/>
      <c r="AH186" s="186"/>
      <c r="AI186" s="137"/>
      <c r="AJ186" s="186"/>
      <c r="AK186" s="186"/>
      <c r="AL186" s="141"/>
    </row>
    <row r="187" spans="1:38" ht="16.5" x14ac:dyDescent="0.3">
      <c r="A187" s="190"/>
      <c r="B187" s="191"/>
      <c r="C187" s="191"/>
      <c r="D187" s="191"/>
      <c r="E187" s="186"/>
      <c r="F187" s="192"/>
      <c r="G187" s="185"/>
      <c r="H187" s="186"/>
      <c r="I187" s="137"/>
      <c r="J187" s="186"/>
      <c r="K187" s="186"/>
      <c r="L187" s="141"/>
      <c r="N187" s="190"/>
      <c r="O187" s="191"/>
      <c r="P187" s="191"/>
      <c r="Q187" s="191"/>
      <c r="R187" s="186"/>
      <c r="S187" s="192"/>
      <c r="T187" s="185"/>
      <c r="U187" s="186"/>
      <c r="V187" s="137"/>
      <c r="W187" s="186"/>
      <c r="X187" s="186"/>
      <c r="Y187" s="141"/>
      <c r="AA187" s="190"/>
      <c r="AB187" s="191"/>
      <c r="AC187" s="191"/>
      <c r="AD187" s="191"/>
      <c r="AE187" s="186"/>
      <c r="AF187" s="192"/>
      <c r="AG187" s="185"/>
      <c r="AH187" s="186"/>
      <c r="AI187" s="137"/>
      <c r="AJ187" s="186"/>
      <c r="AK187" s="186"/>
      <c r="AL187" s="141"/>
    </row>
    <row r="188" spans="1:38" ht="17.25" thickBot="1" x14ac:dyDescent="0.35">
      <c r="A188" s="193"/>
      <c r="B188" s="194"/>
      <c r="C188" s="194"/>
      <c r="D188" s="194"/>
      <c r="E188" s="194"/>
      <c r="F188" s="195"/>
      <c r="G188" s="196"/>
      <c r="H188" s="194"/>
      <c r="I188" s="146"/>
      <c r="J188" s="194"/>
      <c r="K188" s="194"/>
      <c r="L188" s="147"/>
      <c r="N188" s="193"/>
      <c r="O188" s="194"/>
      <c r="P188" s="194"/>
      <c r="Q188" s="194"/>
      <c r="R188" s="194"/>
      <c r="S188" s="195"/>
      <c r="T188" s="196"/>
      <c r="U188" s="194"/>
      <c r="V188" s="146"/>
      <c r="W188" s="194"/>
      <c r="X188" s="194"/>
      <c r="Y188" s="147"/>
      <c r="AA188" s="193"/>
      <c r="AB188" s="194"/>
      <c r="AC188" s="194"/>
      <c r="AD188" s="194"/>
      <c r="AE188" s="194"/>
      <c r="AF188" s="195"/>
      <c r="AG188" s="196"/>
      <c r="AH188" s="194"/>
      <c r="AI188" s="146"/>
      <c r="AJ188" s="194"/>
      <c r="AK188" s="194"/>
      <c r="AL188" s="147"/>
    </row>
    <row r="189" spans="1:38" ht="15.75" thickBot="1" x14ac:dyDescent="0.3">
      <c r="A189" s="177" t="s">
        <v>941</v>
      </c>
      <c r="B189" s="178"/>
      <c r="C189" s="178"/>
      <c r="D189" s="178"/>
      <c r="E189" s="178"/>
      <c r="F189" s="179"/>
      <c r="G189" s="180" t="s">
        <v>942</v>
      </c>
      <c r="H189" s="181"/>
      <c r="I189" s="181"/>
      <c r="J189" s="181"/>
      <c r="K189" s="181"/>
      <c r="L189" s="182"/>
      <c r="N189" s="177" t="s">
        <v>941</v>
      </c>
      <c r="O189" s="178"/>
      <c r="P189" s="178"/>
      <c r="Q189" s="178"/>
      <c r="R189" s="178"/>
      <c r="S189" s="179"/>
      <c r="T189" s="180" t="s">
        <v>942</v>
      </c>
      <c r="U189" s="181"/>
      <c r="V189" s="181"/>
      <c r="W189" s="181"/>
      <c r="X189" s="181"/>
      <c r="Y189" s="182"/>
      <c r="AA189" s="177" t="s">
        <v>941</v>
      </c>
      <c r="AB189" s="178"/>
      <c r="AC189" s="178"/>
      <c r="AD189" s="178"/>
      <c r="AE189" s="178"/>
      <c r="AF189" s="179"/>
      <c r="AG189" s="180" t="s">
        <v>942</v>
      </c>
      <c r="AH189" s="181"/>
      <c r="AI189" s="181"/>
      <c r="AJ189" s="181"/>
      <c r="AK189" s="181"/>
      <c r="AL189" s="182"/>
    </row>
    <row r="190" spans="1:38" x14ac:dyDescent="0.25">
      <c r="A190" s="183" t="s">
        <v>943</v>
      </c>
      <c r="B190" s="183"/>
      <c r="C190" s="148" t="s">
        <v>944</v>
      </c>
      <c r="D190" s="149" t="s">
        <v>945</v>
      </c>
      <c r="E190" s="149" t="s">
        <v>946</v>
      </c>
      <c r="F190" s="150" t="s">
        <v>947</v>
      </c>
      <c r="G190" s="168"/>
      <c r="H190" s="169"/>
      <c r="I190" s="169"/>
      <c r="J190" s="169"/>
      <c r="K190" s="169"/>
      <c r="L190" s="170"/>
      <c r="N190" s="183" t="s">
        <v>943</v>
      </c>
      <c r="O190" s="183"/>
      <c r="P190" s="148" t="s">
        <v>944</v>
      </c>
      <c r="Q190" s="149" t="s">
        <v>945</v>
      </c>
      <c r="R190" s="149" t="s">
        <v>946</v>
      </c>
      <c r="S190" s="150" t="s">
        <v>947</v>
      </c>
      <c r="T190" s="168"/>
      <c r="U190" s="169"/>
      <c r="V190" s="169"/>
      <c r="W190" s="169"/>
      <c r="X190" s="169"/>
      <c r="Y190" s="170"/>
      <c r="AA190" s="183" t="s">
        <v>943</v>
      </c>
      <c r="AB190" s="183"/>
      <c r="AC190" s="148" t="s">
        <v>944</v>
      </c>
      <c r="AD190" s="149" t="s">
        <v>945</v>
      </c>
      <c r="AE190" s="149" t="s">
        <v>946</v>
      </c>
      <c r="AF190" s="150" t="s">
        <v>947</v>
      </c>
      <c r="AG190" s="168"/>
      <c r="AH190" s="169"/>
      <c r="AI190" s="169"/>
      <c r="AJ190" s="169"/>
      <c r="AK190" s="169"/>
      <c r="AL190" s="170"/>
    </row>
    <row r="191" spans="1:38" x14ac:dyDescent="0.25">
      <c r="A191" s="184" t="s">
        <v>1019</v>
      </c>
      <c r="B191" s="185"/>
      <c r="C191" s="140">
        <v>2</v>
      </c>
      <c r="D191" s="1" t="s">
        <v>950</v>
      </c>
      <c r="E191" s="151">
        <v>6</v>
      </c>
      <c r="F191" s="65" t="s">
        <v>1020</v>
      </c>
      <c r="G191" s="171"/>
      <c r="H191" s="172"/>
      <c r="I191" s="172"/>
      <c r="J191" s="172"/>
      <c r="K191" s="172"/>
      <c r="L191" s="173"/>
      <c r="N191" s="184" t="s">
        <v>1021</v>
      </c>
      <c r="O191" s="185"/>
      <c r="P191" s="140">
        <v>1</v>
      </c>
      <c r="Q191" s="1" t="s">
        <v>950</v>
      </c>
      <c r="R191" s="151">
        <v>5</v>
      </c>
      <c r="S191" s="65" t="s">
        <v>997</v>
      </c>
      <c r="T191" s="171"/>
      <c r="U191" s="172"/>
      <c r="V191" s="172"/>
      <c r="W191" s="172"/>
      <c r="X191" s="172"/>
      <c r="Y191" s="173"/>
      <c r="AA191" s="184" t="s">
        <v>1021</v>
      </c>
      <c r="AB191" s="185"/>
      <c r="AC191" s="140">
        <v>1</v>
      </c>
      <c r="AD191" s="1" t="s">
        <v>950</v>
      </c>
      <c r="AE191" s="151">
        <v>4</v>
      </c>
      <c r="AF191" s="65" t="s">
        <v>1022</v>
      </c>
      <c r="AG191" s="171"/>
      <c r="AH191" s="172"/>
      <c r="AI191" s="172"/>
      <c r="AJ191" s="172"/>
      <c r="AK191" s="172"/>
      <c r="AL191" s="173"/>
    </row>
    <row r="192" spans="1:38" x14ac:dyDescent="0.25">
      <c r="A192" s="186"/>
      <c r="B192" s="186"/>
      <c r="C192" s="140"/>
      <c r="D192" s="1" t="s">
        <v>950</v>
      </c>
      <c r="E192" s="151"/>
      <c r="F192" s="65"/>
      <c r="G192" s="171"/>
      <c r="H192" s="172"/>
      <c r="I192" s="172"/>
      <c r="J192" s="172"/>
      <c r="K192" s="172"/>
      <c r="L192" s="173"/>
      <c r="N192" s="186" t="s">
        <v>1023</v>
      </c>
      <c r="O192" s="186"/>
      <c r="P192" s="140">
        <v>1</v>
      </c>
      <c r="Q192" s="1" t="s">
        <v>950</v>
      </c>
      <c r="R192" s="151">
        <v>5</v>
      </c>
      <c r="S192" s="65" t="s">
        <v>993</v>
      </c>
      <c r="T192" s="171"/>
      <c r="U192" s="172"/>
      <c r="V192" s="172"/>
      <c r="W192" s="172"/>
      <c r="X192" s="172"/>
      <c r="Y192" s="173"/>
      <c r="AA192" s="186"/>
      <c r="AB192" s="186"/>
      <c r="AC192" s="140"/>
      <c r="AD192" s="1"/>
      <c r="AE192" s="151"/>
      <c r="AF192" s="65"/>
      <c r="AG192" s="171"/>
      <c r="AH192" s="172"/>
      <c r="AI192" s="172"/>
      <c r="AJ192" s="172"/>
      <c r="AK192" s="172"/>
      <c r="AL192" s="173"/>
    </row>
    <row r="193" spans="1:38" x14ac:dyDescent="0.25">
      <c r="A193" s="186"/>
      <c r="B193" s="186"/>
      <c r="C193" s="140"/>
      <c r="D193" s="1" t="s">
        <v>975</v>
      </c>
      <c r="E193" s="151"/>
      <c r="F193" s="65"/>
      <c r="G193" s="171"/>
      <c r="H193" s="172"/>
      <c r="I193" s="172"/>
      <c r="J193" s="172"/>
      <c r="K193" s="172"/>
      <c r="L193" s="173"/>
      <c r="N193" s="186"/>
      <c r="O193" s="186"/>
      <c r="P193" s="140"/>
      <c r="Q193" s="1" t="s">
        <v>975</v>
      </c>
      <c r="R193" s="151"/>
      <c r="S193" s="65"/>
      <c r="T193" s="171"/>
      <c r="U193" s="172"/>
      <c r="V193" s="172"/>
      <c r="W193" s="172"/>
      <c r="X193" s="172"/>
      <c r="Y193" s="173"/>
      <c r="AA193" s="186"/>
      <c r="AB193" s="186"/>
      <c r="AC193" s="140"/>
      <c r="AD193" s="1" t="s">
        <v>975</v>
      </c>
      <c r="AE193" s="151"/>
      <c r="AF193" s="65"/>
      <c r="AG193" s="171"/>
      <c r="AH193" s="172"/>
      <c r="AI193" s="172"/>
      <c r="AJ193" s="172"/>
      <c r="AK193" s="172"/>
      <c r="AL193" s="173"/>
    </row>
    <row r="194" spans="1:38" ht="16.5" x14ac:dyDescent="0.3">
      <c r="A194" s="187" t="s">
        <v>959</v>
      </c>
      <c r="B194" s="187"/>
      <c r="C194" s="187"/>
      <c r="D194" s="188" t="s">
        <v>915</v>
      </c>
      <c r="E194" s="189"/>
      <c r="F194" s="189"/>
      <c r="G194" s="171"/>
      <c r="H194" s="172"/>
      <c r="I194" s="172"/>
      <c r="J194" s="172"/>
      <c r="K194" s="172"/>
      <c r="L194" s="173"/>
      <c r="N194" s="187" t="s">
        <v>959</v>
      </c>
      <c r="O194" s="187"/>
      <c r="P194" s="187"/>
      <c r="Q194" s="188" t="s">
        <v>915</v>
      </c>
      <c r="R194" s="189"/>
      <c r="S194" s="189"/>
      <c r="T194" s="171"/>
      <c r="U194" s="172"/>
      <c r="V194" s="172"/>
      <c r="W194" s="172"/>
      <c r="X194" s="172"/>
      <c r="Y194" s="173"/>
      <c r="AA194" s="187" t="s">
        <v>959</v>
      </c>
      <c r="AB194" s="187"/>
      <c r="AC194" s="187"/>
      <c r="AD194" s="188" t="s">
        <v>915</v>
      </c>
      <c r="AE194" s="189"/>
      <c r="AF194" s="189"/>
      <c r="AG194" s="171"/>
      <c r="AH194" s="172"/>
      <c r="AI194" s="172"/>
      <c r="AJ194" s="172"/>
      <c r="AK194" s="172"/>
      <c r="AL194" s="173"/>
    </row>
    <row r="195" spans="1:38" ht="15.75" thickBot="1" x14ac:dyDescent="0.3">
      <c r="A195" s="167" t="s">
        <v>960</v>
      </c>
      <c r="B195" s="167"/>
      <c r="C195" s="144">
        <f>A166+IF(D194="Int",G173,IF(D194="Wis",I173,IF(D194="Cha",K173,0)))</f>
        <v>2</v>
      </c>
      <c r="D195" s="167" t="s">
        <v>961</v>
      </c>
      <c r="E195" s="167"/>
      <c r="F195" s="152">
        <f>8+A166+IF(D194="Int",G173,IF(D194="Wis",I173,IF(D194="Cha",K173,0)))</f>
        <v>10</v>
      </c>
      <c r="G195" s="171"/>
      <c r="H195" s="172"/>
      <c r="I195" s="172"/>
      <c r="J195" s="172"/>
      <c r="K195" s="172"/>
      <c r="L195" s="173"/>
      <c r="N195" s="167" t="s">
        <v>960</v>
      </c>
      <c r="O195" s="167"/>
      <c r="P195" s="144">
        <f>N166+IF(Q194="Int",T173,IF(Q194="Wis",V173,IF(Q194="Cha",X173,0)))</f>
        <v>2</v>
      </c>
      <c r="Q195" s="167" t="s">
        <v>961</v>
      </c>
      <c r="R195" s="167"/>
      <c r="S195" s="152">
        <f>8+N166+IF(Q194="Int",T173,IF(Q194="Wis",V173,IF(Q194="Cha",X173,0)))</f>
        <v>10</v>
      </c>
      <c r="T195" s="171"/>
      <c r="U195" s="172"/>
      <c r="V195" s="172"/>
      <c r="W195" s="172"/>
      <c r="X195" s="172"/>
      <c r="Y195" s="173"/>
      <c r="AA195" s="167" t="s">
        <v>960</v>
      </c>
      <c r="AB195" s="167"/>
      <c r="AC195" s="144">
        <f>AA166+IF(AD194="Int",AG173,IF(AD194="Wis",AI173,IF(AD194="Cha",AK173,0)))</f>
        <v>2</v>
      </c>
      <c r="AD195" s="167" t="s">
        <v>961</v>
      </c>
      <c r="AE195" s="167"/>
      <c r="AF195" s="152">
        <f>8+AA166+IF(AD194="Int",AG173,IF(AD194="Wis",AI173,IF(AD194="Cha",AK173,0)))</f>
        <v>10</v>
      </c>
      <c r="AG195" s="171"/>
      <c r="AH195" s="172"/>
      <c r="AI195" s="172"/>
      <c r="AJ195" s="172"/>
      <c r="AK195" s="172"/>
      <c r="AL195" s="173"/>
    </row>
    <row r="196" spans="1:38" x14ac:dyDescent="0.25">
      <c r="A196" s="168"/>
      <c r="B196" s="169"/>
      <c r="C196" s="169"/>
      <c r="D196" s="169"/>
      <c r="E196" s="169"/>
      <c r="F196" s="170"/>
      <c r="G196" s="171"/>
      <c r="H196" s="172"/>
      <c r="I196" s="172"/>
      <c r="J196" s="172"/>
      <c r="K196" s="172"/>
      <c r="L196" s="173"/>
      <c r="N196" s="168" t="s">
        <v>1024</v>
      </c>
      <c r="O196" s="169"/>
      <c r="P196" s="169"/>
      <c r="Q196" s="169"/>
      <c r="R196" s="169"/>
      <c r="S196" s="170"/>
      <c r="T196" s="171"/>
      <c r="U196" s="172"/>
      <c r="V196" s="172"/>
      <c r="W196" s="172"/>
      <c r="X196" s="172"/>
      <c r="Y196" s="173"/>
      <c r="AA196" s="168" t="s">
        <v>1025</v>
      </c>
      <c r="AB196" s="169"/>
      <c r="AC196" s="169"/>
      <c r="AD196" s="169"/>
      <c r="AE196" s="169"/>
      <c r="AF196" s="170"/>
      <c r="AG196" s="171"/>
      <c r="AH196" s="172"/>
      <c r="AI196" s="172"/>
      <c r="AJ196" s="172"/>
      <c r="AK196" s="172"/>
      <c r="AL196" s="173"/>
    </row>
    <row r="197" spans="1:38" x14ac:dyDescent="0.25">
      <c r="A197" s="171"/>
      <c r="B197" s="172"/>
      <c r="C197" s="172"/>
      <c r="D197" s="172"/>
      <c r="E197" s="172"/>
      <c r="F197" s="173"/>
      <c r="G197" s="171"/>
      <c r="H197" s="172"/>
      <c r="I197" s="172"/>
      <c r="J197" s="172"/>
      <c r="K197" s="172"/>
      <c r="L197" s="173"/>
      <c r="N197" s="171"/>
      <c r="O197" s="172"/>
      <c r="P197" s="172"/>
      <c r="Q197" s="172"/>
      <c r="R197" s="172"/>
      <c r="S197" s="173"/>
      <c r="T197" s="171"/>
      <c r="U197" s="172"/>
      <c r="V197" s="172"/>
      <c r="W197" s="172"/>
      <c r="X197" s="172"/>
      <c r="Y197" s="173"/>
      <c r="AA197" s="171"/>
      <c r="AB197" s="172"/>
      <c r="AC197" s="172"/>
      <c r="AD197" s="172"/>
      <c r="AE197" s="172"/>
      <c r="AF197" s="173"/>
      <c r="AG197" s="171"/>
      <c r="AH197" s="172"/>
      <c r="AI197" s="172"/>
      <c r="AJ197" s="172"/>
      <c r="AK197" s="172"/>
      <c r="AL197" s="173"/>
    </row>
    <row r="198" spans="1:38" x14ac:dyDescent="0.25">
      <c r="A198" s="171"/>
      <c r="B198" s="172"/>
      <c r="C198" s="172"/>
      <c r="D198" s="172"/>
      <c r="E198" s="172"/>
      <c r="F198" s="173"/>
      <c r="G198" s="171"/>
      <c r="H198" s="172"/>
      <c r="I198" s="172"/>
      <c r="J198" s="172"/>
      <c r="K198" s="172"/>
      <c r="L198" s="173"/>
      <c r="N198" s="171"/>
      <c r="O198" s="172"/>
      <c r="P198" s="172"/>
      <c r="Q198" s="172"/>
      <c r="R198" s="172"/>
      <c r="S198" s="173"/>
      <c r="T198" s="171"/>
      <c r="U198" s="172"/>
      <c r="V198" s="172"/>
      <c r="W198" s="172"/>
      <c r="X198" s="172"/>
      <c r="Y198" s="173"/>
      <c r="AA198" s="171"/>
      <c r="AB198" s="172"/>
      <c r="AC198" s="172"/>
      <c r="AD198" s="172"/>
      <c r="AE198" s="172"/>
      <c r="AF198" s="173"/>
      <c r="AG198" s="171"/>
      <c r="AH198" s="172"/>
      <c r="AI198" s="172"/>
      <c r="AJ198" s="172"/>
      <c r="AK198" s="172"/>
      <c r="AL198" s="173"/>
    </row>
    <row r="199" spans="1:38" x14ac:dyDescent="0.25">
      <c r="A199" s="171"/>
      <c r="B199" s="172"/>
      <c r="C199" s="172"/>
      <c r="D199" s="172"/>
      <c r="E199" s="172"/>
      <c r="F199" s="173"/>
      <c r="G199" s="171"/>
      <c r="H199" s="172"/>
      <c r="I199" s="172"/>
      <c r="J199" s="172"/>
      <c r="K199" s="172"/>
      <c r="L199" s="173"/>
      <c r="N199" s="171"/>
      <c r="O199" s="172"/>
      <c r="P199" s="172"/>
      <c r="Q199" s="172"/>
      <c r="R199" s="172"/>
      <c r="S199" s="173"/>
      <c r="T199" s="171"/>
      <c r="U199" s="172"/>
      <c r="V199" s="172"/>
      <c r="W199" s="172"/>
      <c r="X199" s="172"/>
      <c r="Y199" s="173"/>
      <c r="AA199" s="171"/>
      <c r="AB199" s="172"/>
      <c r="AC199" s="172"/>
      <c r="AD199" s="172"/>
      <c r="AE199" s="172"/>
      <c r="AF199" s="173"/>
      <c r="AG199" s="171"/>
      <c r="AH199" s="172"/>
      <c r="AI199" s="172"/>
      <c r="AJ199" s="172"/>
      <c r="AK199" s="172"/>
      <c r="AL199" s="173"/>
    </row>
    <row r="200" spans="1:38" x14ac:dyDescent="0.25">
      <c r="A200" s="171"/>
      <c r="B200" s="172"/>
      <c r="C200" s="172"/>
      <c r="D200" s="172"/>
      <c r="E200" s="172"/>
      <c r="F200" s="173"/>
      <c r="G200" s="171"/>
      <c r="H200" s="172"/>
      <c r="I200" s="172"/>
      <c r="J200" s="172"/>
      <c r="K200" s="172"/>
      <c r="L200" s="173"/>
      <c r="N200" s="171"/>
      <c r="O200" s="172"/>
      <c r="P200" s="172"/>
      <c r="Q200" s="172"/>
      <c r="R200" s="172"/>
      <c r="S200" s="173"/>
      <c r="T200" s="171"/>
      <c r="U200" s="172"/>
      <c r="V200" s="172"/>
      <c r="W200" s="172"/>
      <c r="X200" s="172"/>
      <c r="Y200" s="173"/>
      <c r="AA200" s="171"/>
      <c r="AB200" s="172"/>
      <c r="AC200" s="172"/>
      <c r="AD200" s="172"/>
      <c r="AE200" s="172"/>
      <c r="AF200" s="173"/>
      <c r="AG200" s="171"/>
      <c r="AH200" s="172"/>
      <c r="AI200" s="172"/>
      <c r="AJ200" s="172"/>
      <c r="AK200" s="172"/>
      <c r="AL200" s="173"/>
    </row>
    <row r="201" spans="1:38" x14ac:dyDescent="0.25">
      <c r="A201" s="171"/>
      <c r="B201" s="172"/>
      <c r="C201" s="172"/>
      <c r="D201" s="172"/>
      <c r="E201" s="172"/>
      <c r="F201" s="173"/>
      <c r="G201" s="171"/>
      <c r="H201" s="172"/>
      <c r="I201" s="172"/>
      <c r="J201" s="172"/>
      <c r="K201" s="172"/>
      <c r="L201" s="173"/>
      <c r="N201" s="171"/>
      <c r="O201" s="172"/>
      <c r="P201" s="172"/>
      <c r="Q201" s="172"/>
      <c r="R201" s="172"/>
      <c r="S201" s="173"/>
      <c r="T201" s="171"/>
      <c r="U201" s="172"/>
      <c r="V201" s="172"/>
      <c r="W201" s="172"/>
      <c r="X201" s="172"/>
      <c r="Y201" s="173"/>
      <c r="AA201" s="171"/>
      <c r="AB201" s="172"/>
      <c r="AC201" s="172"/>
      <c r="AD201" s="172"/>
      <c r="AE201" s="172"/>
      <c r="AF201" s="173"/>
      <c r="AG201" s="171"/>
      <c r="AH201" s="172"/>
      <c r="AI201" s="172"/>
      <c r="AJ201" s="172"/>
      <c r="AK201" s="172"/>
      <c r="AL201" s="173"/>
    </row>
    <row r="202" spans="1:38" x14ac:dyDescent="0.25">
      <c r="A202" s="171"/>
      <c r="B202" s="172"/>
      <c r="C202" s="172"/>
      <c r="D202" s="172"/>
      <c r="E202" s="172"/>
      <c r="F202" s="173"/>
      <c r="G202" s="171"/>
      <c r="H202" s="172"/>
      <c r="I202" s="172"/>
      <c r="J202" s="172"/>
      <c r="K202" s="172"/>
      <c r="L202" s="173"/>
      <c r="N202" s="171"/>
      <c r="O202" s="172"/>
      <c r="P202" s="172"/>
      <c r="Q202" s="172"/>
      <c r="R202" s="172"/>
      <c r="S202" s="173"/>
      <c r="T202" s="171"/>
      <c r="U202" s="172"/>
      <c r="V202" s="172"/>
      <c r="W202" s="172"/>
      <c r="X202" s="172"/>
      <c r="Y202" s="173"/>
      <c r="AA202" s="171"/>
      <c r="AB202" s="172"/>
      <c r="AC202" s="172"/>
      <c r="AD202" s="172"/>
      <c r="AE202" s="172"/>
      <c r="AF202" s="173"/>
      <c r="AG202" s="171"/>
      <c r="AH202" s="172"/>
      <c r="AI202" s="172"/>
      <c r="AJ202" s="172"/>
      <c r="AK202" s="172"/>
      <c r="AL202" s="173"/>
    </row>
    <row r="203" spans="1:38" x14ac:dyDescent="0.25">
      <c r="A203" s="171"/>
      <c r="B203" s="172"/>
      <c r="C203" s="172"/>
      <c r="D203" s="172"/>
      <c r="E203" s="172"/>
      <c r="F203" s="173"/>
      <c r="G203" s="171"/>
      <c r="H203" s="172"/>
      <c r="I203" s="172"/>
      <c r="J203" s="172"/>
      <c r="K203" s="172"/>
      <c r="L203" s="173"/>
      <c r="N203" s="171"/>
      <c r="O203" s="172"/>
      <c r="P203" s="172"/>
      <c r="Q203" s="172"/>
      <c r="R203" s="172"/>
      <c r="S203" s="173"/>
      <c r="T203" s="171"/>
      <c r="U203" s="172"/>
      <c r="V203" s="172"/>
      <c r="W203" s="172"/>
      <c r="X203" s="172"/>
      <c r="Y203" s="173"/>
      <c r="AA203" s="171"/>
      <c r="AB203" s="172"/>
      <c r="AC203" s="172"/>
      <c r="AD203" s="172"/>
      <c r="AE203" s="172"/>
      <c r="AF203" s="173"/>
      <c r="AG203" s="171"/>
      <c r="AH203" s="172"/>
      <c r="AI203" s="172"/>
      <c r="AJ203" s="172"/>
      <c r="AK203" s="172"/>
      <c r="AL203" s="173"/>
    </row>
    <row r="204" spans="1:38" ht="15.75" thickBot="1" x14ac:dyDescent="0.3">
      <c r="A204" s="174"/>
      <c r="B204" s="175"/>
      <c r="C204" s="175"/>
      <c r="D204" s="175"/>
      <c r="E204" s="175"/>
      <c r="F204" s="176"/>
      <c r="G204" s="174"/>
      <c r="H204" s="175"/>
      <c r="I204" s="175"/>
      <c r="J204" s="175"/>
      <c r="K204" s="175"/>
      <c r="L204" s="176"/>
      <c r="N204" s="174"/>
      <c r="O204" s="175"/>
      <c r="P204" s="175"/>
      <c r="Q204" s="175"/>
      <c r="R204" s="175"/>
      <c r="S204" s="176"/>
      <c r="T204" s="174"/>
      <c r="U204" s="175"/>
      <c r="V204" s="175"/>
      <c r="W204" s="175"/>
      <c r="X204" s="175"/>
      <c r="Y204" s="176"/>
      <c r="AA204" s="174"/>
      <c r="AB204" s="175"/>
      <c r="AC204" s="175"/>
      <c r="AD204" s="175"/>
      <c r="AE204" s="175"/>
      <c r="AF204" s="176"/>
      <c r="AG204" s="174"/>
      <c r="AH204" s="175"/>
      <c r="AI204" s="175"/>
      <c r="AJ204" s="175"/>
      <c r="AK204" s="175"/>
      <c r="AL204" s="176"/>
    </row>
    <row r="206" spans="1:38" ht="17.25" x14ac:dyDescent="0.25">
      <c r="A206" s="127">
        <v>16</v>
      </c>
      <c r="B206" s="236" t="s">
        <v>687</v>
      </c>
      <c r="C206" s="236"/>
      <c r="D206" s="236"/>
      <c r="E206" s="236"/>
      <c r="F206" s="236"/>
      <c r="G206" s="236"/>
      <c r="H206" s="236"/>
      <c r="I206" s="236"/>
      <c r="J206" s="236"/>
      <c r="K206" s="236"/>
      <c r="L206" s="236"/>
      <c r="N206" s="127">
        <v>17</v>
      </c>
      <c r="O206" s="236" t="s">
        <v>579</v>
      </c>
      <c r="P206" s="236"/>
      <c r="Q206" s="236"/>
      <c r="R206" s="236"/>
      <c r="S206" s="236"/>
      <c r="T206" s="236"/>
      <c r="U206" s="236"/>
      <c r="V206" s="236"/>
      <c r="W206" s="236"/>
      <c r="X206" s="236"/>
      <c r="Y206" s="236"/>
      <c r="AA206" s="127">
        <v>18</v>
      </c>
      <c r="AB206" s="236" t="s">
        <v>1130</v>
      </c>
      <c r="AC206" s="236"/>
      <c r="AD206" s="236"/>
      <c r="AE206" s="236"/>
      <c r="AF206" s="236"/>
      <c r="AG206" s="236"/>
      <c r="AH206" s="236"/>
      <c r="AI206" s="236"/>
      <c r="AJ206" s="236"/>
      <c r="AK206" s="236"/>
      <c r="AL206" s="236"/>
    </row>
    <row r="207" spans="1:38" ht="21" x14ac:dyDescent="0.25">
      <c r="A207" s="128">
        <v>4</v>
      </c>
      <c r="B207" s="236"/>
      <c r="C207" s="236"/>
      <c r="D207" s="236"/>
      <c r="E207" s="236"/>
      <c r="F207" s="236"/>
      <c r="G207" s="236"/>
      <c r="H207" s="236"/>
      <c r="I207" s="236"/>
      <c r="J207" s="236"/>
      <c r="K207" s="236"/>
      <c r="L207" s="236"/>
      <c r="N207" s="128">
        <v>3</v>
      </c>
      <c r="O207" s="236"/>
      <c r="P207" s="236"/>
      <c r="Q207" s="236"/>
      <c r="R207" s="236"/>
      <c r="S207" s="236"/>
      <c r="T207" s="236"/>
      <c r="U207" s="236"/>
      <c r="V207" s="236"/>
      <c r="W207" s="236"/>
      <c r="X207" s="236"/>
      <c r="Y207" s="236"/>
      <c r="AA207" s="128">
        <v>2</v>
      </c>
      <c r="AB207" s="236"/>
      <c r="AC207" s="236"/>
      <c r="AD207" s="236"/>
      <c r="AE207" s="236"/>
      <c r="AF207" s="236"/>
      <c r="AG207" s="236"/>
      <c r="AH207" s="236"/>
      <c r="AI207" s="236"/>
      <c r="AJ207" s="236"/>
      <c r="AK207" s="236"/>
      <c r="AL207" s="236"/>
    </row>
    <row r="208" spans="1:38" ht="16.5" x14ac:dyDescent="0.3">
      <c r="A208" s="237" t="s">
        <v>37</v>
      </c>
      <c r="B208" s="237"/>
      <c r="C208" s="237" t="s">
        <v>18</v>
      </c>
      <c r="D208" s="237"/>
      <c r="E208" s="237" t="s">
        <v>1004</v>
      </c>
      <c r="F208" s="237"/>
      <c r="G208" s="238" t="s">
        <v>909</v>
      </c>
      <c r="H208" s="239">
        <v>15</v>
      </c>
      <c r="I208" s="229" t="s">
        <v>1013</v>
      </c>
      <c r="J208" s="230"/>
      <c r="K208" s="230"/>
      <c r="L208" s="231"/>
      <c r="N208" s="237" t="s">
        <v>37</v>
      </c>
      <c r="O208" s="237"/>
      <c r="P208" s="237" t="s">
        <v>18</v>
      </c>
      <c r="Q208" s="237"/>
      <c r="R208" s="237" t="s">
        <v>1123</v>
      </c>
      <c r="S208" s="237"/>
      <c r="T208" s="238" t="s">
        <v>909</v>
      </c>
      <c r="U208" s="239">
        <v>17</v>
      </c>
      <c r="V208" s="229" t="s">
        <v>1124</v>
      </c>
      <c r="W208" s="230"/>
      <c r="X208" s="230"/>
      <c r="Y208" s="231"/>
      <c r="AA208" s="237" t="s">
        <v>37</v>
      </c>
      <c r="AB208" s="237"/>
      <c r="AC208" s="237" t="s">
        <v>18</v>
      </c>
      <c r="AD208" s="237"/>
      <c r="AE208" s="237" t="s">
        <v>982</v>
      </c>
      <c r="AF208" s="237"/>
      <c r="AG208" s="238" t="s">
        <v>909</v>
      </c>
      <c r="AH208" s="239">
        <v>15</v>
      </c>
      <c r="AI208" s="229" t="s">
        <v>1124</v>
      </c>
      <c r="AJ208" s="230"/>
      <c r="AK208" s="230"/>
      <c r="AL208" s="231"/>
    </row>
    <row r="209" spans="1:38" x14ac:dyDescent="0.25">
      <c r="A209" s="228" t="s">
        <v>2</v>
      </c>
      <c r="B209" s="228"/>
      <c r="C209" s="228" t="s">
        <v>912</v>
      </c>
      <c r="D209" s="228"/>
      <c r="E209" s="228" t="s">
        <v>913</v>
      </c>
      <c r="F209" s="228"/>
      <c r="G209" s="238"/>
      <c r="H209" s="239"/>
      <c r="I209" s="229"/>
      <c r="J209" s="230"/>
      <c r="K209" s="230"/>
      <c r="L209" s="231"/>
      <c r="N209" s="228" t="s">
        <v>2</v>
      </c>
      <c r="O209" s="228"/>
      <c r="P209" s="228" t="s">
        <v>912</v>
      </c>
      <c r="Q209" s="228"/>
      <c r="R209" s="228" t="s">
        <v>913</v>
      </c>
      <c r="S209" s="228"/>
      <c r="T209" s="238"/>
      <c r="U209" s="239"/>
      <c r="V209" s="229" t="s">
        <v>1046</v>
      </c>
      <c r="W209" s="230"/>
      <c r="X209" s="230"/>
      <c r="Y209" s="231"/>
      <c r="AA209" s="228" t="s">
        <v>2</v>
      </c>
      <c r="AB209" s="228"/>
      <c r="AC209" s="228" t="s">
        <v>912</v>
      </c>
      <c r="AD209" s="228"/>
      <c r="AE209" s="228" t="s">
        <v>913</v>
      </c>
      <c r="AF209" s="228"/>
      <c r="AG209" s="238"/>
      <c r="AH209" s="239"/>
      <c r="AI209" s="229"/>
      <c r="AJ209" s="230"/>
      <c r="AK209" s="230"/>
      <c r="AL209" s="231"/>
    </row>
    <row r="210" spans="1:38" x14ac:dyDescent="0.25">
      <c r="A210" s="232">
        <f>C214</f>
        <v>4</v>
      </c>
      <c r="B210" s="232"/>
      <c r="C210" s="233">
        <v>30</v>
      </c>
      <c r="D210" s="233"/>
      <c r="E210" s="233"/>
      <c r="F210" s="233"/>
      <c r="G210" s="235">
        <v>12</v>
      </c>
      <c r="H210" s="235" t="str">
        <f>IF(C208="Tiny","d4",IF(C208="Small","d6",IF(C208="Medium","d8",IF(C208="Large","d10",IF(C208="Huge","d12",IF(C208="Gargantuan","d20",""))))))</f>
        <v>d8</v>
      </c>
      <c r="I210" s="223">
        <f>IFERROR(G210*E214,0)</f>
        <v>36</v>
      </c>
      <c r="J210" s="224">
        <f>ROUNDDOWN((0.5*(1+VALUE(RIGHT(H210,LEN(H210)-1)))+IF(E214="",0,E214))*G210,0)</f>
        <v>90</v>
      </c>
      <c r="K210" s="224"/>
      <c r="L210" s="225">
        <v>8</v>
      </c>
      <c r="N210" s="232">
        <f>P214</f>
        <v>3</v>
      </c>
      <c r="O210" s="232"/>
      <c r="P210" s="233">
        <v>30</v>
      </c>
      <c r="Q210" s="233"/>
      <c r="R210" s="233"/>
      <c r="S210" s="233"/>
      <c r="T210" s="235">
        <v>15</v>
      </c>
      <c r="U210" s="235" t="str">
        <f>IF(P208="Tiny","d4",IF(P208="Small","d6",IF(P208="Medium","d8",IF(P208="Large","d10",IF(P208="Huge","d12",IF(P208="Gargantuan","d20",""))))))</f>
        <v>d8</v>
      </c>
      <c r="V210" s="223">
        <f>IFERROR(T210*R214,0)</f>
        <v>45</v>
      </c>
      <c r="W210" s="224">
        <f>ROUNDDOWN((0.5*(1+VALUE(RIGHT(U210,LEN(U210)-1)))+IF(R214="",0,R214))*T210,0)</f>
        <v>112</v>
      </c>
      <c r="X210" s="224"/>
      <c r="Y210" s="225">
        <v>5</v>
      </c>
      <c r="AA210" s="232">
        <f>AC214</f>
        <v>3</v>
      </c>
      <c r="AB210" s="232"/>
      <c r="AC210" s="233">
        <v>30</v>
      </c>
      <c r="AD210" s="233"/>
      <c r="AE210" s="233"/>
      <c r="AF210" s="233"/>
      <c r="AG210" s="235">
        <v>12</v>
      </c>
      <c r="AH210" s="235" t="str">
        <f>IF(AC208="Tiny","d4",IF(AC208="Small","d6",IF(AC208="Medium","d8",IF(AC208="Large","d10",IF(AC208="Huge","d12",IF(AC208="Gargantuan","d20",""))))))</f>
        <v>d8</v>
      </c>
      <c r="AI210" s="223">
        <f>IFERROR(AG210*AE214,0)</f>
        <v>24</v>
      </c>
      <c r="AJ210" s="224">
        <f>ROUNDDOWN((0.5*(1+VALUE(RIGHT(AH210,LEN(AH210)-1)))+IF(AE214="",0,AE214))*AG210,0)</f>
        <v>78</v>
      </c>
      <c r="AK210" s="224"/>
      <c r="AL210" s="225">
        <v>5</v>
      </c>
    </row>
    <row r="211" spans="1:38" x14ac:dyDescent="0.25">
      <c r="A211" s="232"/>
      <c r="B211" s="232"/>
      <c r="C211" s="234"/>
      <c r="D211" s="234"/>
      <c r="E211" s="234"/>
      <c r="F211" s="234"/>
      <c r="G211" s="235"/>
      <c r="H211" s="235"/>
      <c r="I211" s="223"/>
      <c r="J211" s="224"/>
      <c r="K211" s="224"/>
      <c r="L211" s="225"/>
      <c r="N211" s="232"/>
      <c r="O211" s="232"/>
      <c r="P211" s="234"/>
      <c r="Q211" s="234"/>
      <c r="R211" s="234"/>
      <c r="S211" s="234"/>
      <c r="T211" s="235"/>
      <c r="U211" s="235"/>
      <c r="V211" s="223"/>
      <c r="W211" s="224"/>
      <c r="X211" s="224"/>
      <c r="Y211" s="225"/>
      <c r="AA211" s="232"/>
      <c r="AB211" s="232"/>
      <c r="AC211" s="234"/>
      <c r="AD211" s="234"/>
      <c r="AE211" s="234"/>
      <c r="AF211" s="234"/>
      <c r="AG211" s="235"/>
      <c r="AH211" s="235"/>
      <c r="AI211" s="223"/>
      <c r="AJ211" s="224"/>
      <c r="AK211" s="224"/>
      <c r="AL211" s="225"/>
    </row>
    <row r="212" spans="1:38" ht="15.75" thickBot="1" x14ac:dyDescent="0.3">
      <c r="A212" s="226" t="str">
        <f>"Base Init:"&amp;C214</f>
        <v>Base Init:4</v>
      </c>
      <c r="B212" s="226"/>
      <c r="C212" s="129" t="s">
        <v>914</v>
      </c>
      <c r="D212" s="129" t="s">
        <v>915</v>
      </c>
      <c r="E212" s="129" t="s">
        <v>915</v>
      </c>
      <c r="F212" s="129" t="s">
        <v>915</v>
      </c>
      <c r="G212" s="226" t="s">
        <v>916</v>
      </c>
      <c r="H212" s="226"/>
      <c r="I212" s="226"/>
      <c r="J212" s="226"/>
      <c r="K212" s="226"/>
      <c r="L212" s="129" t="s">
        <v>11</v>
      </c>
      <c r="N212" s="226" t="str">
        <f>"Base Init:"&amp;P214</f>
        <v>Base Init:3</v>
      </c>
      <c r="O212" s="226"/>
      <c r="P212" s="129" t="s">
        <v>914</v>
      </c>
      <c r="Q212" s="129" t="s">
        <v>915</v>
      </c>
      <c r="R212" s="129" t="s">
        <v>915</v>
      </c>
      <c r="S212" s="129" t="s">
        <v>915</v>
      </c>
      <c r="T212" s="226" t="s">
        <v>916</v>
      </c>
      <c r="U212" s="226"/>
      <c r="V212" s="226"/>
      <c r="W212" s="226"/>
      <c r="X212" s="226"/>
      <c r="Y212" s="129" t="s">
        <v>11</v>
      </c>
      <c r="AA212" s="226" t="str">
        <f>"Base Init:"&amp;AC214</f>
        <v>Base Init:3</v>
      </c>
      <c r="AB212" s="226"/>
      <c r="AC212" s="129" t="s">
        <v>914</v>
      </c>
      <c r="AD212" s="129" t="s">
        <v>915</v>
      </c>
      <c r="AE212" s="129" t="s">
        <v>915</v>
      </c>
      <c r="AF212" s="129" t="s">
        <v>915</v>
      </c>
      <c r="AG212" s="226" t="s">
        <v>916</v>
      </c>
      <c r="AH212" s="226"/>
      <c r="AI212" s="226"/>
      <c r="AJ212" s="226"/>
      <c r="AK212" s="226"/>
      <c r="AL212" s="129" t="s">
        <v>11</v>
      </c>
    </row>
    <row r="213" spans="1:38" ht="17.25" x14ac:dyDescent="0.25">
      <c r="A213" s="227">
        <v>12</v>
      </c>
      <c r="B213" s="219"/>
      <c r="C213" s="218">
        <v>18</v>
      </c>
      <c r="D213" s="219"/>
      <c r="E213" s="218">
        <v>16</v>
      </c>
      <c r="F213" s="219"/>
      <c r="G213" s="218">
        <v>14</v>
      </c>
      <c r="H213" s="219"/>
      <c r="I213" s="218">
        <v>12</v>
      </c>
      <c r="J213" s="219"/>
      <c r="K213" s="218">
        <v>12</v>
      </c>
      <c r="L213" s="219"/>
      <c r="N213" s="227">
        <v>18</v>
      </c>
      <c r="O213" s="219"/>
      <c r="P213" s="218">
        <v>16</v>
      </c>
      <c r="Q213" s="219"/>
      <c r="R213" s="218">
        <v>16</v>
      </c>
      <c r="S213" s="219"/>
      <c r="T213" s="218">
        <v>10</v>
      </c>
      <c r="U213" s="219"/>
      <c r="V213" s="218">
        <v>12</v>
      </c>
      <c r="W213" s="219"/>
      <c r="X213" s="218">
        <v>15</v>
      </c>
      <c r="Y213" s="219"/>
      <c r="AA213" s="227">
        <v>11</v>
      </c>
      <c r="AB213" s="219"/>
      <c r="AC213" s="218">
        <v>16</v>
      </c>
      <c r="AD213" s="219"/>
      <c r="AE213" s="218">
        <v>14</v>
      </c>
      <c r="AF213" s="219"/>
      <c r="AG213" s="218">
        <v>12</v>
      </c>
      <c r="AH213" s="219"/>
      <c r="AI213" s="218">
        <v>12</v>
      </c>
      <c r="AJ213" s="219"/>
      <c r="AK213" s="218">
        <v>14</v>
      </c>
      <c r="AL213" s="219"/>
    </row>
    <row r="214" spans="1:38" x14ac:dyDescent="0.25">
      <c r="A214" s="220">
        <f>IF(A213=0,"",IF(A213&gt;10,ROUNDDOWN((A213-10)/2,0),ROUNDUP((A213-10)/2,0)))</f>
        <v>1</v>
      </c>
      <c r="B214" s="221"/>
      <c r="C214" s="222">
        <f>IF(C213=0,"",IF(C213&gt;10,ROUNDDOWN((C213-10)/2,0),ROUNDUP((C213-10)/2,0)))</f>
        <v>4</v>
      </c>
      <c r="D214" s="221"/>
      <c r="E214" s="222">
        <f>IF(E213=0,"",IF(E213&gt;10,ROUNDDOWN((E213-10)/2,0),ROUNDUP((E213-10)/2,0)))</f>
        <v>3</v>
      </c>
      <c r="F214" s="221"/>
      <c r="G214" s="222">
        <f>IF(G213=0,"",IF(G213&gt;10,ROUNDDOWN((G213-10)/2,0),ROUNDUP((G213-10)/2,0)))</f>
        <v>2</v>
      </c>
      <c r="H214" s="221"/>
      <c r="I214" s="222">
        <f>IF(I213=0,"",IF(I213&gt;10,ROUNDDOWN((I213-10)/2,0),ROUNDUP((I213-10)/2,0)))</f>
        <v>1</v>
      </c>
      <c r="J214" s="221"/>
      <c r="K214" s="222">
        <f>IF(K213=0,"",IF(K213&gt;10,ROUNDDOWN((K213-10)/2,0),ROUNDUP((K213-10)/2,0)))</f>
        <v>1</v>
      </c>
      <c r="L214" s="221"/>
      <c r="N214" s="220">
        <f>IF(N213=0,"",IF(N213&gt;10,ROUNDDOWN((N213-10)/2,0),ROUNDUP((N213-10)/2,0)))</f>
        <v>4</v>
      </c>
      <c r="O214" s="221"/>
      <c r="P214" s="222">
        <f>IF(P213=0,"",IF(P213&gt;10,ROUNDDOWN((P213-10)/2,0),ROUNDUP((P213-10)/2,0)))</f>
        <v>3</v>
      </c>
      <c r="Q214" s="221"/>
      <c r="R214" s="222">
        <f>IF(R213=0,"",IF(R213&gt;10,ROUNDDOWN((R213-10)/2,0),ROUNDUP((R213-10)/2,0)))</f>
        <v>3</v>
      </c>
      <c r="S214" s="221"/>
      <c r="T214" s="222">
        <f>IF(T213=0,"",IF(T213&gt;10,ROUNDDOWN((T213-10)/2,0),ROUNDUP((T213-10)/2,0)))</f>
        <v>0</v>
      </c>
      <c r="U214" s="221"/>
      <c r="V214" s="222">
        <f>IF(V213=0,"",IF(V213&gt;10,ROUNDDOWN((V213-10)/2,0),ROUNDUP((V213-10)/2,0)))</f>
        <v>1</v>
      </c>
      <c r="W214" s="221"/>
      <c r="X214" s="222">
        <f>IF(X213=0,"",IF(X213&gt;10,ROUNDDOWN((X213-10)/2,0),ROUNDUP((X213-10)/2,0)))</f>
        <v>2</v>
      </c>
      <c r="Y214" s="221"/>
      <c r="AA214" s="220">
        <f>IF(AA213=0,"",IF(AA213&gt;10,ROUNDDOWN((AA213-10)/2,0),ROUNDUP((AA213-10)/2,0)))</f>
        <v>0</v>
      </c>
      <c r="AB214" s="221"/>
      <c r="AC214" s="222">
        <f>IF(AC213=0,"",IF(AC213&gt;10,ROUNDDOWN((AC213-10)/2,0),ROUNDUP((AC213-10)/2,0)))</f>
        <v>3</v>
      </c>
      <c r="AD214" s="221"/>
      <c r="AE214" s="222">
        <f>IF(AE213=0,"",IF(AE213&gt;10,ROUNDDOWN((AE213-10)/2,0),ROUNDUP((AE213-10)/2,0)))</f>
        <v>2</v>
      </c>
      <c r="AF214" s="221"/>
      <c r="AG214" s="222">
        <f>IF(AG213=0,"",IF(AG213&gt;10,ROUNDDOWN((AG213-10)/2,0),ROUNDUP((AG213-10)/2,0)))</f>
        <v>1</v>
      </c>
      <c r="AH214" s="221"/>
      <c r="AI214" s="222">
        <f>IF(AI213=0,"",IF(AI213&gt;10,ROUNDDOWN((AI213-10)/2,0),ROUNDUP((AI213-10)/2,0)))</f>
        <v>1</v>
      </c>
      <c r="AJ214" s="221"/>
      <c r="AK214" s="222">
        <f>IF(AK213=0,"",IF(AK213&gt;10,ROUNDDOWN((AK213-10)/2,0),ROUNDUP((AK213-10)/2,0)))</f>
        <v>2</v>
      </c>
      <c r="AL214" s="221"/>
    </row>
    <row r="215" spans="1:38" x14ac:dyDescent="0.25">
      <c r="A215" s="220"/>
      <c r="B215" s="221"/>
      <c r="C215" s="222"/>
      <c r="D215" s="221"/>
      <c r="E215" s="222"/>
      <c r="F215" s="221"/>
      <c r="G215" s="222"/>
      <c r="H215" s="221"/>
      <c r="I215" s="222"/>
      <c r="J215" s="221"/>
      <c r="K215" s="222"/>
      <c r="L215" s="221"/>
      <c r="N215" s="220"/>
      <c r="O215" s="221"/>
      <c r="P215" s="222"/>
      <c r="Q215" s="221"/>
      <c r="R215" s="222"/>
      <c r="S215" s="221"/>
      <c r="T215" s="222"/>
      <c r="U215" s="221"/>
      <c r="V215" s="222"/>
      <c r="W215" s="221"/>
      <c r="X215" s="222"/>
      <c r="Y215" s="221"/>
      <c r="AA215" s="220"/>
      <c r="AB215" s="221"/>
      <c r="AC215" s="222"/>
      <c r="AD215" s="221"/>
      <c r="AE215" s="222"/>
      <c r="AF215" s="221"/>
      <c r="AG215" s="222"/>
      <c r="AH215" s="221"/>
      <c r="AI215" s="222"/>
      <c r="AJ215" s="221"/>
      <c r="AK215" s="222"/>
      <c r="AL215" s="221"/>
    </row>
    <row r="216" spans="1:38" ht="15.75" thickBot="1" x14ac:dyDescent="0.3">
      <c r="A216" s="215" t="s">
        <v>917</v>
      </c>
      <c r="B216" s="216"/>
      <c r="C216" s="217" t="s">
        <v>918</v>
      </c>
      <c r="D216" s="216"/>
      <c r="E216" s="217" t="s">
        <v>919</v>
      </c>
      <c r="F216" s="216"/>
      <c r="G216" s="217" t="s">
        <v>920</v>
      </c>
      <c r="H216" s="216"/>
      <c r="I216" s="217" t="s">
        <v>921</v>
      </c>
      <c r="J216" s="216"/>
      <c r="K216" s="217" t="s">
        <v>922</v>
      </c>
      <c r="L216" s="216"/>
      <c r="N216" s="215" t="s">
        <v>917</v>
      </c>
      <c r="O216" s="216"/>
      <c r="P216" s="217" t="s">
        <v>918</v>
      </c>
      <c r="Q216" s="216"/>
      <c r="R216" s="217" t="s">
        <v>919</v>
      </c>
      <c r="S216" s="216"/>
      <c r="T216" s="217" t="s">
        <v>920</v>
      </c>
      <c r="U216" s="216"/>
      <c r="V216" s="217" t="s">
        <v>921</v>
      </c>
      <c r="W216" s="216"/>
      <c r="X216" s="217" t="s">
        <v>922</v>
      </c>
      <c r="Y216" s="216"/>
      <c r="AA216" s="215" t="s">
        <v>917</v>
      </c>
      <c r="AB216" s="216"/>
      <c r="AC216" s="217" t="s">
        <v>918</v>
      </c>
      <c r="AD216" s="216"/>
      <c r="AE216" s="217" t="s">
        <v>919</v>
      </c>
      <c r="AF216" s="216"/>
      <c r="AG216" s="217" t="s">
        <v>920</v>
      </c>
      <c r="AH216" s="216"/>
      <c r="AI216" s="217" t="s">
        <v>921</v>
      </c>
      <c r="AJ216" s="216"/>
      <c r="AK216" s="217" t="s">
        <v>922</v>
      </c>
      <c r="AL216" s="216"/>
    </row>
    <row r="217" spans="1:38" ht="15.75" thickBot="1" x14ac:dyDescent="0.3">
      <c r="A217" s="180" t="s">
        <v>923</v>
      </c>
      <c r="B217" s="181"/>
      <c r="C217" s="181"/>
      <c r="D217" s="181"/>
      <c r="E217" s="181"/>
      <c r="F217" s="182"/>
      <c r="G217" s="180" t="s">
        <v>924</v>
      </c>
      <c r="H217" s="181"/>
      <c r="I217" s="181"/>
      <c r="J217" s="181"/>
      <c r="K217" s="181"/>
      <c r="L217" s="182"/>
      <c r="N217" s="180" t="s">
        <v>923</v>
      </c>
      <c r="O217" s="181"/>
      <c r="P217" s="181"/>
      <c r="Q217" s="181"/>
      <c r="R217" s="181"/>
      <c r="S217" s="182"/>
      <c r="T217" s="180" t="s">
        <v>924</v>
      </c>
      <c r="U217" s="181"/>
      <c r="V217" s="181"/>
      <c r="W217" s="181"/>
      <c r="X217" s="181"/>
      <c r="Y217" s="182"/>
      <c r="AA217" s="180" t="s">
        <v>923</v>
      </c>
      <c r="AB217" s="181"/>
      <c r="AC217" s="181"/>
      <c r="AD217" s="181"/>
      <c r="AE217" s="181"/>
      <c r="AF217" s="182"/>
      <c r="AG217" s="180" t="s">
        <v>924</v>
      </c>
      <c r="AH217" s="181"/>
      <c r="AI217" s="181"/>
      <c r="AJ217" s="181"/>
      <c r="AK217" s="181"/>
      <c r="AL217" s="182"/>
    </row>
    <row r="218" spans="1:38" ht="16.5" x14ac:dyDescent="0.3">
      <c r="A218" s="131" t="s">
        <v>917</v>
      </c>
      <c r="B218" s="132">
        <f>IFERROR(IF(C218="prof",A214+A207,A214),"")</f>
        <v>1</v>
      </c>
      <c r="C218" s="133" t="s">
        <v>925</v>
      </c>
      <c r="D218" s="134" t="s">
        <v>920</v>
      </c>
      <c r="E218" s="135">
        <f>IFERROR(IF(F218="prof",G214+A207,G214),"")</f>
        <v>6</v>
      </c>
      <c r="F218" s="136" t="s">
        <v>932</v>
      </c>
      <c r="G218" s="207" t="s">
        <v>926</v>
      </c>
      <c r="H218" s="208"/>
      <c r="I218" s="208"/>
      <c r="J218" s="211">
        <f>IFERROR(IF(L218="prof",I214+A207+10,I214+10),"")</f>
        <v>15</v>
      </c>
      <c r="K218" s="211"/>
      <c r="L218" s="213" t="s">
        <v>932</v>
      </c>
      <c r="N218" s="131" t="s">
        <v>917</v>
      </c>
      <c r="O218" s="132">
        <f>IFERROR(IF(P218="prof",N214+N207,N214),"")</f>
        <v>7</v>
      </c>
      <c r="P218" s="133" t="s">
        <v>932</v>
      </c>
      <c r="Q218" s="134" t="s">
        <v>920</v>
      </c>
      <c r="R218" s="135">
        <f>IFERROR(IF(S218="prof",T214+N207,T214),"")</f>
        <v>0</v>
      </c>
      <c r="S218" s="136" t="s">
        <v>925</v>
      </c>
      <c r="T218" s="207" t="s">
        <v>926</v>
      </c>
      <c r="U218" s="208"/>
      <c r="V218" s="208"/>
      <c r="W218" s="211">
        <f>IFERROR(IF(Y218="prof",V214+N207+10,V214+10),"")</f>
        <v>14</v>
      </c>
      <c r="X218" s="211"/>
      <c r="Y218" s="213" t="s">
        <v>932</v>
      </c>
      <c r="AA218" s="131" t="s">
        <v>917</v>
      </c>
      <c r="AB218" s="132">
        <f>IFERROR(IF(AC218="prof",AA214+AA207,AA214),"")</f>
        <v>0</v>
      </c>
      <c r="AC218" s="137" t="s">
        <v>925</v>
      </c>
      <c r="AD218" s="134" t="s">
        <v>920</v>
      </c>
      <c r="AE218" s="135">
        <f>IFERROR(IF(AF218="prof",AG214+AA207,AG214),"")</f>
        <v>1</v>
      </c>
      <c r="AF218" s="137" t="s">
        <v>925</v>
      </c>
      <c r="AG218" s="207" t="s">
        <v>926</v>
      </c>
      <c r="AH218" s="208"/>
      <c r="AI218" s="208"/>
      <c r="AJ218" s="211">
        <f>IFERROR(IF(AL218="prof",AI214+AA207+10,AI214+10),"")</f>
        <v>11</v>
      </c>
      <c r="AK218" s="211"/>
      <c r="AL218" s="213" t="s">
        <v>925</v>
      </c>
    </row>
    <row r="219" spans="1:38" ht="16.5" x14ac:dyDescent="0.3">
      <c r="A219" s="134" t="s">
        <v>918</v>
      </c>
      <c r="B219" s="135">
        <f>IFERROR(IF(C219="prof",C214+A207,C214),"")</f>
        <v>8</v>
      </c>
      <c r="C219" s="137" t="s">
        <v>932</v>
      </c>
      <c r="D219" s="134" t="s">
        <v>921</v>
      </c>
      <c r="E219" s="135">
        <f>IFERROR(IF(F219="prof",I214+A207,I214),"")</f>
        <v>1</v>
      </c>
      <c r="F219" s="136" t="s">
        <v>925</v>
      </c>
      <c r="G219" s="209"/>
      <c r="H219" s="210"/>
      <c r="I219" s="210"/>
      <c r="J219" s="212"/>
      <c r="K219" s="212"/>
      <c r="L219" s="214"/>
      <c r="N219" s="134" t="s">
        <v>918</v>
      </c>
      <c r="O219" s="135">
        <f>IFERROR(IF(P219="prof",P214+N207,P214),"")</f>
        <v>6</v>
      </c>
      <c r="P219" s="137" t="s">
        <v>932</v>
      </c>
      <c r="Q219" s="134" t="s">
        <v>921</v>
      </c>
      <c r="R219" s="135">
        <f>IFERROR(IF(S219="prof",V214+N207,V214),"")</f>
        <v>1</v>
      </c>
      <c r="S219" s="137" t="s">
        <v>925</v>
      </c>
      <c r="T219" s="209"/>
      <c r="U219" s="210"/>
      <c r="V219" s="210"/>
      <c r="W219" s="212"/>
      <c r="X219" s="212"/>
      <c r="Y219" s="214"/>
      <c r="AA219" s="134" t="s">
        <v>918</v>
      </c>
      <c r="AB219" s="135">
        <f>IFERROR(IF(AC219="prof",AC214+AA207,AC214),"")</f>
        <v>3</v>
      </c>
      <c r="AC219" s="137" t="s">
        <v>925</v>
      </c>
      <c r="AD219" s="134" t="s">
        <v>921</v>
      </c>
      <c r="AE219" s="135">
        <f>IFERROR(IF(AF219="prof",AI214+AA207,AI214),"")</f>
        <v>3</v>
      </c>
      <c r="AF219" s="137" t="s">
        <v>932</v>
      </c>
      <c r="AG219" s="209"/>
      <c r="AH219" s="210"/>
      <c r="AI219" s="210"/>
      <c r="AJ219" s="212"/>
      <c r="AK219" s="212"/>
      <c r="AL219" s="214"/>
    </row>
    <row r="220" spans="1:38" ht="17.25" thickBot="1" x14ac:dyDescent="0.35">
      <c r="A220" s="134" t="s">
        <v>919</v>
      </c>
      <c r="B220" s="135">
        <f>IFERROR(IF(C220="prof",E214+A207,E214),"")</f>
        <v>3</v>
      </c>
      <c r="C220" s="137" t="s">
        <v>925</v>
      </c>
      <c r="D220" s="134" t="s">
        <v>927</v>
      </c>
      <c r="E220" s="135">
        <f>IFERROR(IF(F220="prof",K214+A207,K214),"")</f>
        <v>1</v>
      </c>
      <c r="F220" s="136" t="s">
        <v>925</v>
      </c>
      <c r="G220" s="199" t="s">
        <v>915</v>
      </c>
      <c r="H220" s="186"/>
      <c r="I220" s="138">
        <v>0</v>
      </c>
      <c r="J220" s="199" t="s">
        <v>915</v>
      </c>
      <c r="K220" s="186"/>
      <c r="L220" s="139">
        <v>0</v>
      </c>
      <c r="N220" s="134" t="s">
        <v>919</v>
      </c>
      <c r="O220" s="135">
        <f>IFERROR(IF(P220="prof",R214+N207,R214),"")</f>
        <v>6</v>
      </c>
      <c r="P220" s="137" t="s">
        <v>932</v>
      </c>
      <c r="Q220" s="134" t="s">
        <v>927</v>
      </c>
      <c r="R220" s="135">
        <f>IFERROR(IF(S220="prof",X214+N207,X214),"")</f>
        <v>2</v>
      </c>
      <c r="S220" s="136" t="s">
        <v>925</v>
      </c>
      <c r="T220" s="199" t="s">
        <v>915</v>
      </c>
      <c r="U220" s="186"/>
      <c r="V220" s="138">
        <v>0</v>
      </c>
      <c r="W220" s="199" t="s">
        <v>915</v>
      </c>
      <c r="X220" s="186"/>
      <c r="Y220" s="139">
        <v>0</v>
      </c>
      <c r="AA220" s="134" t="s">
        <v>919</v>
      </c>
      <c r="AB220" s="135">
        <f>IFERROR(IF(AC220="prof",AE214+AA207,AE214),"")</f>
        <v>2</v>
      </c>
      <c r="AC220" s="137" t="s">
        <v>925</v>
      </c>
      <c r="AD220" s="134" t="s">
        <v>927</v>
      </c>
      <c r="AE220" s="135">
        <f>IFERROR(IF(AF220="prof",AK214+AA207,AK214),"")</f>
        <v>2</v>
      </c>
      <c r="AF220" s="136" t="s">
        <v>925</v>
      </c>
      <c r="AG220" s="199" t="s">
        <v>983</v>
      </c>
      <c r="AH220" s="186"/>
      <c r="AI220" s="138">
        <v>60</v>
      </c>
      <c r="AJ220" s="199" t="s">
        <v>915</v>
      </c>
      <c r="AK220" s="186"/>
      <c r="AL220" s="139">
        <v>0</v>
      </c>
    </row>
    <row r="221" spans="1:38" ht="15.75" thickBot="1" x14ac:dyDescent="0.3">
      <c r="A221" s="180" t="s">
        <v>928</v>
      </c>
      <c r="B221" s="181"/>
      <c r="C221" s="181"/>
      <c r="D221" s="181"/>
      <c r="E221" s="181"/>
      <c r="F221" s="182"/>
      <c r="G221" s="180" t="s">
        <v>929</v>
      </c>
      <c r="H221" s="181"/>
      <c r="I221" s="181"/>
      <c r="J221" s="181"/>
      <c r="K221" s="181"/>
      <c r="L221" s="182"/>
      <c r="N221" s="180" t="s">
        <v>928</v>
      </c>
      <c r="O221" s="181"/>
      <c r="P221" s="181"/>
      <c r="Q221" s="181"/>
      <c r="R221" s="181"/>
      <c r="S221" s="182"/>
      <c r="T221" s="180" t="s">
        <v>929</v>
      </c>
      <c r="U221" s="181"/>
      <c r="V221" s="181"/>
      <c r="W221" s="181"/>
      <c r="X221" s="181"/>
      <c r="Y221" s="182"/>
      <c r="AA221" s="180" t="s">
        <v>928</v>
      </c>
      <c r="AB221" s="181"/>
      <c r="AC221" s="181"/>
      <c r="AD221" s="181"/>
      <c r="AE221" s="181"/>
      <c r="AF221" s="182"/>
      <c r="AG221" s="180" t="s">
        <v>929</v>
      </c>
      <c r="AH221" s="181"/>
      <c r="AI221" s="181"/>
      <c r="AJ221" s="181"/>
      <c r="AK221" s="181"/>
      <c r="AL221" s="182"/>
    </row>
    <row r="222" spans="1:38" ht="16.5" x14ac:dyDescent="0.3">
      <c r="A222" s="199" t="s">
        <v>1115</v>
      </c>
      <c r="B222" s="186"/>
      <c r="C222" s="186"/>
      <c r="D222" s="140" t="s">
        <v>934</v>
      </c>
      <c r="E222" s="140">
        <f>IF(F222="expert",2,IF(F222="prof",1,0))*A207+VALUE(IF(D222="Str",A214,IF(D222="Dex",C214,IF(D222="Con",E214,IF(D222="Int",G214,IF(D222="Wis",I214,IF(D222="Cha",K214,"")))))))</f>
        <v>12</v>
      </c>
      <c r="F222" s="141" t="s">
        <v>1116</v>
      </c>
      <c r="G222" s="205" t="s">
        <v>1018</v>
      </c>
      <c r="H222" s="206"/>
      <c r="I222" s="142" t="s">
        <v>1017</v>
      </c>
      <c r="J222" s="206"/>
      <c r="K222" s="206"/>
      <c r="L222" s="143"/>
      <c r="N222" s="240" t="s">
        <v>1006</v>
      </c>
      <c r="O222" s="241"/>
      <c r="P222" s="185"/>
      <c r="Q222" s="140" t="s">
        <v>931</v>
      </c>
      <c r="R222" s="140">
        <f>IF(S222="expert",2,IF(S222="prof",1,0))*N207+VALUE(IF(Q222="Str",N214,IF(Q222="Dex",P214,IF(Q222="Con",R214,IF(Q222="Int",T214,IF(Q222="Wis",V214,IF(Q222="Cha",X214,"")))))))</f>
        <v>7</v>
      </c>
      <c r="S222" s="141" t="s">
        <v>932</v>
      </c>
      <c r="T222" s="205" t="s">
        <v>915</v>
      </c>
      <c r="U222" s="206"/>
      <c r="V222" s="142" t="s">
        <v>915</v>
      </c>
      <c r="W222" s="206"/>
      <c r="X222" s="206"/>
      <c r="Y222" s="143"/>
      <c r="AA222" s="240" t="s">
        <v>968</v>
      </c>
      <c r="AB222" s="241"/>
      <c r="AC222" s="185"/>
      <c r="AD222" s="140" t="s">
        <v>927</v>
      </c>
      <c r="AE222" s="140">
        <f>IF(AF222="expert",2,IF(AF222="prof",1,0))*AA207+VALUE(IF(AD222="Str",AA214,IF(AD222="Dex",AC214,IF(AD222="Con",AE214,IF(AD222="Int",AG214,IF(AD222="Wis",AI214,IF(AD222="Cha",AK214,"")))))))</f>
        <v>4</v>
      </c>
      <c r="AF222" s="141" t="s">
        <v>932</v>
      </c>
      <c r="AG222" s="205" t="s">
        <v>1018</v>
      </c>
      <c r="AH222" s="206"/>
      <c r="AI222" s="142" t="s">
        <v>1017</v>
      </c>
      <c r="AJ222" s="206"/>
      <c r="AK222" s="206"/>
      <c r="AL222" s="143"/>
    </row>
    <row r="223" spans="1:38" ht="16.5" x14ac:dyDescent="0.3">
      <c r="A223" s="199" t="s">
        <v>968</v>
      </c>
      <c r="B223" s="186"/>
      <c r="C223" s="186"/>
      <c r="D223" s="140" t="s">
        <v>927</v>
      </c>
      <c r="E223" s="140">
        <f>IF(F223="expert",2,IF(F223="prof",1,0))*A207+VALUE(IF(D223="Str",A214,IF(D223="Dex",C214,IF(D223="Con",E214,IF(D223="Int",G214,IF(D223="Wis",I214,IF(D223="Cha",K214,"")))))))</f>
        <v>5</v>
      </c>
      <c r="F223" s="141" t="s">
        <v>932</v>
      </c>
      <c r="G223" s="199"/>
      <c r="H223" s="186"/>
      <c r="I223" s="137"/>
      <c r="J223" s="186"/>
      <c r="K223" s="186"/>
      <c r="L223" s="141"/>
      <c r="N223" s="240" t="s">
        <v>1125</v>
      </c>
      <c r="O223" s="241"/>
      <c r="P223" s="185"/>
      <c r="Q223" s="140" t="s">
        <v>927</v>
      </c>
      <c r="R223" s="140">
        <f>IF(S223="expert",2,IF(S223="prof",1,0))*$A$2+VALUE(IF(Q223="Str",N214,IF(Q223="Dex",P214,IF(Q223="Con",R214,IF(Q223="Int",T214,IF(Q223="Wis",V214,IF(Q223="Cha",X214,"")))))))</f>
        <v>4</v>
      </c>
      <c r="S223" s="141" t="s">
        <v>932</v>
      </c>
      <c r="T223" s="199"/>
      <c r="U223" s="186"/>
      <c r="V223" s="137"/>
      <c r="W223" s="186"/>
      <c r="X223" s="186"/>
      <c r="Y223" s="141"/>
      <c r="AA223" s="240" t="s">
        <v>986</v>
      </c>
      <c r="AB223" s="241"/>
      <c r="AC223" s="185"/>
      <c r="AD223" s="140" t="s">
        <v>934</v>
      </c>
      <c r="AE223" s="140">
        <f>IF(AF223="expert",2,IF(AF223="prof",1,0))*$A$2+VALUE(IF(AD223="Str",AA214,IF(AD223="Dex",AC214,IF(AD223="Con",AE214,IF(AD223="Int",AG214,IF(AD223="Wis",AI214,IF(AD223="Cha",AK214,"")))))))</f>
        <v>5</v>
      </c>
      <c r="AF223" s="141" t="s">
        <v>932</v>
      </c>
      <c r="AG223" s="199"/>
      <c r="AH223" s="186"/>
      <c r="AI223" s="137"/>
      <c r="AJ223" s="186"/>
      <c r="AK223" s="186"/>
      <c r="AL223" s="141"/>
    </row>
    <row r="224" spans="1:38" ht="16.5" x14ac:dyDescent="0.3">
      <c r="A224" s="199" t="s">
        <v>969</v>
      </c>
      <c r="B224" s="186"/>
      <c r="C224" s="186"/>
      <c r="D224" s="140" t="s">
        <v>938</v>
      </c>
      <c r="E224" s="140">
        <f>IF(F224="expert",2,IF(F224="prof",1,0))*A207+VALUE(IF(D224="Str",A214,IF(D224="Dex",C214,IF(D224="Con",E214,IF(D224="Int",G214,IF(D224="Wis",I214,IF(D224="Cha",K214,"")))))))</f>
        <v>5</v>
      </c>
      <c r="F224" s="141" t="s">
        <v>932</v>
      </c>
      <c r="G224" s="199"/>
      <c r="H224" s="186"/>
      <c r="I224" s="137"/>
      <c r="J224" s="186"/>
      <c r="K224" s="186"/>
      <c r="L224" s="141"/>
      <c r="N224" s="240" t="s">
        <v>915</v>
      </c>
      <c r="O224" s="241"/>
      <c r="P224" s="185"/>
      <c r="Q224" s="140" t="s">
        <v>935</v>
      </c>
      <c r="R224" s="140">
        <f>IF(S224="expert",2,IF(S224="prof",1,0))*$A$2+VALUE(IF(Q224="Str",N214,IF(Q224="Dex",P214,IF(Q224="Con",R214,IF(Q224="Int",T214,IF(Q224="Wis",V214,IF(Q224="Cha",X214,"")))))))</f>
        <v>3</v>
      </c>
      <c r="S224" s="141" t="s">
        <v>915</v>
      </c>
      <c r="T224" s="199"/>
      <c r="U224" s="186"/>
      <c r="V224" s="137"/>
      <c r="W224" s="186"/>
      <c r="X224" s="186"/>
      <c r="Y224" s="141"/>
      <c r="AA224" s="240" t="s">
        <v>915</v>
      </c>
      <c r="AB224" s="241"/>
      <c r="AC224" s="185"/>
      <c r="AD224" s="140" t="s">
        <v>935</v>
      </c>
      <c r="AE224" s="140">
        <f>IF(AF224="expert",2,IF(AF224="prof",1,0))*$A$2+VALUE(IF(AD224="Str",AA214,IF(AD224="Dex",AC214,IF(AD224="Con",AE214,IF(AD224="Int",AG214,IF(AD224="Wis",AI214,IF(AD224="Cha",AK214,"")))))))</f>
        <v>2</v>
      </c>
      <c r="AF224" s="141" t="s">
        <v>915</v>
      </c>
      <c r="AG224" s="199"/>
      <c r="AH224" s="186"/>
      <c r="AI224" s="137"/>
      <c r="AJ224" s="186"/>
      <c r="AK224" s="186"/>
      <c r="AL224" s="141"/>
    </row>
    <row r="225" spans="1:38" ht="16.5" x14ac:dyDescent="0.3">
      <c r="A225" s="199" t="s">
        <v>986</v>
      </c>
      <c r="B225" s="186"/>
      <c r="C225" s="186"/>
      <c r="D225" s="140" t="s">
        <v>934</v>
      </c>
      <c r="E225" s="140">
        <f>IF(F225="expert",2,IF(F225="prof",1,0))*A207+VALUE(IF(D225="Str",A214,IF(D225="Dex",C214,IF(D225="Con",E214,IF(D225="Int",G214,IF(D225="Wis",I214,IF(D225="Cha",K214,"")))))))</f>
        <v>12</v>
      </c>
      <c r="F225" s="141" t="s">
        <v>1116</v>
      </c>
      <c r="G225" s="199"/>
      <c r="H225" s="186"/>
      <c r="I225" s="137"/>
      <c r="J225" s="186"/>
      <c r="K225" s="186"/>
      <c r="L225" s="141"/>
      <c r="N225" s="240" t="s">
        <v>915</v>
      </c>
      <c r="O225" s="241"/>
      <c r="P225" s="185"/>
      <c r="Q225" s="140" t="s">
        <v>935</v>
      </c>
      <c r="R225" s="140">
        <f>IF(S225="expert",2,IF(S225="prof",1,0))*$A$2+VALUE(IF(Q225="Str",N214,IF(Q225="Dex",P214,IF(Q225="Con",R214,IF(Q225="Int",T214,IF(Q225="Wis",V214,IF(Q225="Cha",X214,"")))))))</f>
        <v>3</v>
      </c>
      <c r="S225" s="141" t="s">
        <v>915</v>
      </c>
      <c r="T225" s="199"/>
      <c r="U225" s="186"/>
      <c r="V225" s="137"/>
      <c r="W225" s="186"/>
      <c r="X225" s="186"/>
      <c r="Y225" s="141"/>
      <c r="AA225" s="240" t="s">
        <v>915</v>
      </c>
      <c r="AB225" s="241"/>
      <c r="AC225" s="185"/>
      <c r="AD225" s="140" t="s">
        <v>935</v>
      </c>
      <c r="AE225" s="140">
        <f>IF(AF225="expert",2,IF(AF225="prof",1,0))*$A$2+VALUE(IF(AD225="Str",AA214,IF(AD225="Dex",AC214,IF(AD225="Con",AE214,IF(AD225="Int",AG214,IF(AD225="Wis",AI214,IF(AD225="Cha",AK214,"")))))))</f>
        <v>2</v>
      </c>
      <c r="AF225" s="141" t="s">
        <v>915</v>
      </c>
      <c r="AG225" s="199"/>
      <c r="AH225" s="186"/>
      <c r="AI225" s="137"/>
      <c r="AJ225" s="186"/>
      <c r="AK225" s="186"/>
      <c r="AL225" s="141"/>
    </row>
    <row r="226" spans="1:38" ht="17.25" thickBot="1" x14ac:dyDescent="0.35">
      <c r="A226" s="197" t="s">
        <v>915</v>
      </c>
      <c r="B226" s="198"/>
      <c r="C226" s="198"/>
      <c r="D226" s="144" t="s">
        <v>938</v>
      </c>
      <c r="E226" s="144">
        <f>IF(F226="expert",2,IF(F226="prof",1,0))*A207+VALUE(IF(D226="Str",A214,IF(D226="Dex",C214,IF(D226="Con",E214,IF(D226="Int",G214,IF(D226="Wis",I214,IF(D226="Cha",K214,"")))))))</f>
        <v>1</v>
      </c>
      <c r="F226" s="145" t="s">
        <v>915</v>
      </c>
      <c r="G226" s="199"/>
      <c r="H226" s="186"/>
      <c r="I226" s="137"/>
      <c r="J226" s="186"/>
      <c r="K226" s="186"/>
      <c r="L226" s="141"/>
      <c r="N226" s="240" t="s">
        <v>915</v>
      </c>
      <c r="O226" s="241"/>
      <c r="P226" s="185"/>
      <c r="Q226" s="144" t="s">
        <v>938</v>
      </c>
      <c r="R226" s="144">
        <f>IF(S226="expert",2,IF(S226="prof",1,0))*$A$2+VALUE(IF(Q226="Str",N214,IF(Q226="Dex",P214,IF(Q226="Con",R214,IF(Q226="Int",T214,IF(Q226="Wis",V214,IF(Q226="Cha",X214,"")))))))</f>
        <v>1</v>
      </c>
      <c r="S226" s="141" t="s">
        <v>915</v>
      </c>
      <c r="T226" s="199"/>
      <c r="U226" s="186"/>
      <c r="V226" s="137"/>
      <c r="W226" s="186"/>
      <c r="X226" s="186"/>
      <c r="Y226" s="141"/>
      <c r="AA226" s="240" t="s">
        <v>915</v>
      </c>
      <c r="AB226" s="241"/>
      <c r="AC226" s="185"/>
      <c r="AD226" s="144" t="s">
        <v>938</v>
      </c>
      <c r="AE226" s="144">
        <f>IF(AF226="expert",2,IF(AF226="prof",1,0))*$A$2+VALUE(IF(AD226="Str",AA214,IF(AD226="Dex",AC214,IF(AD226="Con",AE214,IF(AD226="Int",AG214,IF(AD226="Wis",AI214,IF(AD226="Cha",AK214,"")))))))</f>
        <v>1</v>
      </c>
      <c r="AF226" s="141" t="s">
        <v>915</v>
      </c>
      <c r="AG226" s="199"/>
      <c r="AH226" s="186"/>
      <c r="AI226" s="137"/>
      <c r="AJ226" s="186"/>
      <c r="AK226" s="186"/>
      <c r="AL226" s="141"/>
    </row>
    <row r="227" spans="1:38" ht="17.25" thickBot="1" x14ac:dyDescent="0.35">
      <c r="A227" s="200" t="s">
        <v>939</v>
      </c>
      <c r="B227" s="201"/>
      <c r="C227" s="201"/>
      <c r="D227" s="202"/>
      <c r="E227" s="203" t="s">
        <v>940</v>
      </c>
      <c r="F227" s="204"/>
      <c r="G227" s="185"/>
      <c r="H227" s="186"/>
      <c r="I227" s="137"/>
      <c r="J227" s="186"/>
      <c r="K227" s="186"/>
      <c r="L227" s="141"/>
      <c r="N227" s="200" t="s">
        <v>939</v>
      </c>
      <c r="O227" s="201"/>
      <c r="P227" s="201"/>
      <c r="Q227" s="202"/>
      <c r="R227" s="203" t="s">
        <v>940</v>
      </c>
      <c r="S227" s="204"/>
      <c r="T227" s="185"/>
      <c r="U227" s="186"/>
      <c r="V227" s="137"/>
      <c r="W227" s="186"/>
      <c r="X227" s="186"/>
      <c r="Y227" s="141"/>
      <c r="AA227" s="200" t="s">
        <v>939</v>
      </c>
      <c r="AB227" s="201"/>
      <c r="AC227" s="201"/>
      <c r="AD227" s="202"/>
      <c r="AE227" s="203" t="s">
        <v>988</v>
      </c>
      <c r="AF227" s="204"/>
      <c r="AG227" s="185"/>
      <c r="AH227" s="186"/>
      <c r="AI227" s="137"/>
      <c r="AJ227" s="186"/>
      <c r="AK227" s="186"/>
      <c r="AL227" s="141"/>
    </row>
    <row r="228" spans="1:38" ht="16.5" x14ac:dyDescent="0.3">
      <c r="A228" s="190" t="s">
        <v>1117</v>
      </c>
      <c r="B228" s="191"/>
      <c r="C228" s="191"/>
      <c r="D228" s="191"/>
      <c r="E228" s="186"/>
      <c r="F228" s="192"/>
      <c r="G228" s="185"/>
      <c r="H228" s="186"/>
      <c r="I228" s="137"/>
      <c r="J228" s="186"/>
      <c r="K228" s="186"/>
      <c r="L228" s="141"/>
      <c r="N228" s="190"/>
      <c r="O228" s="191"/>
      <c r="P228" s="191"/>
      <c r="Q228" s="191"/>
      <c r="R228" s="186"/>
      <c r="S228" s="192"/>
      <c r="T228" s="185"/>
      <c r="U228" s="186"/>
      <c r="V228" s="137"/>
      <c r="W228" s="186"/>
      <c r="X228" s="186"/>
      <c r="Y228" s="141"/>
      <c r="AA228" s="190" t="s">
        <v>940</v>
      </c>
      <c r="AB228" s="191"/>
      <c r="AC228" s="191" t="s">
        <v>1131</v>
      </c>
      <c r="AD228" s="191"/>
      <c r="AE228" s="186"/>
      <c r="AF228" s="192"/>
      <c r="AG228" s="185"/>
      <c r="AH228" s="186"/>
      <c r="AI228" s="137"/>
      <c r="AJ228" s="186"/>
      <c r="AK228" s="186"/>
      <c r="AL228" s="141"/>
    </row>
    <row r="229" spans="1:38" ht="17.25" thickBot="1" x14ac:dyDescent="0.35">
      <c r="A229" s="193"/>
      <c r="B229" s="194"/>
      <c r="C229" s="194"/>
      <c r="D229" s="194"/>
      <c r="E229" s="194"/>
      <c r="F229" s="195"/>
      <c r="G229" s="196"/>
      <c r="H229" s="194"/>
      <c r="I229" s="146"/>
      <c r="J229" s="194"/>
      <c r="K229" s="194"/>
      <c r="L229" s="147"/>
      <c r="N229" s="193"/>
      <c r="O229" s="194"/>
      <c r="P229" s="194"/>
      <c r="Q229" s="194"/>
      <c r="R229" s="194"/>
      <c r="S229" s="195"/>
      <c r="T229" s="196"/>
      <c r="U229" s="194"/>
      <c r="V229" s="146"/>
      <c r="W229" s="194"/>
      <c r="X229" s="194"/>
      <c r="Y229" s="147"/>
      <c r="AA229" s="193"/>
      <c r="AB229" s="194"/>
      <c r="AC229" s="194"/>
      <c r="AD229" s="194"/>
      <c r="AE229" s="194"/>
      <c r="AF229" s="195"/>
      <c r="AG229" s="196"/>
      <c r="AH229" s="194"/>
      <c r="AI229" s="146"/>
      <c r="AJ229" s="194"/>
      <c r="AK229" s="194"/>
      <c r="AL229" s="147"/>
    </row>
    <row r="230" spans="1:38" ht="15.75" thickBot="1" x14ac:dyDescent="0.3">
      <c r="A230" s="177" t="s">
        <v>941</v>
      </c>
      <c r="B230" s="178"/>
      <c r="C230" s="178"/>
      <c r="D230" s="178"/>
      <c r="E230" s="178"/>
      <c r="F230" s="179"/>
      <c r="G230" s="180" t="s">
        <v>942</v>
      </c>
      <c r="H230" s="181"/>
      <c r="I230" s="181"/>
      <c r="J230" s="181"/>
      <c r="K230" s="181"/>
      <c r="L230" s="182"/>
      <c r="N230" s="177" t="s">
        <v>941</v>
      </c>
      <c r="O230" s="178"/>
      <c r="P230" s="178"/>
      <c r="Q230" s="178"/>
      <c r="R230" s="178"/>
      <c r="S230" s="179"/>
      <c r="T230" s="180" t="s">
        <v>942</v>
      </c>
      <c r="U230" s="181"/>
      <c r="V230" s="181"/>
      <c r="W230" s="181"/>
      <c r="X230" s="181"/>
      <c r="Y230" s="182"/>
      <c r="AA230" s="177" t="s">
        <v>941</v>
      </c>
      <c r="AB230" s="178"/>
      <c r="AC230" s="178"/>
      <c r="AD230" s="178"/>
      <c r="AE230" s="178"/>
      <c r="AF230" s="179"/>
      <c r="AG230" s="180" t="s">
        <v>942</v>
      </c>
      <c r="AH230" s="181"/>
      <c r="AI230" s="181"/>
      <c r="AJ230" s="181"/>
      <c r="AK230" s="181"/>
      <c r="AL230" s="182"/>
    </row>
    <row r="231" spans="1:38" x14ac:dyDescent="0.25">
      <c r="A231" s="183" t="s">
        <v>943</v>
      </c>
      <c r="B231" s="183"/>
      <c r="C231" s="148" t="s">
        <v>944</v>
      </c>
      <c r="D231" s="149" t="s">
        <v>945</v>
      </c>
      <c r="E231" s="149" t="s">
        <v>946</v>
      </c>
      <c r="F231" s="150" t="s">
        <v>947</v>
      </c>
      <c r="G231" s="168" t="s">
        <v>1118</v>
      </c>
      <c r="H231" s="169"/>
      <c r="I231" s="169"/>
      <c r="J231" s="169"/>
      <c r="K231" s="169"/>
      <c r="L231" s="170"/>
      <c r="N231" s="183" t="s">
        <v>943</v>
      </c>
      <c r="O231" s="183"/>
      <c r="P231" s="148" t="s">
        <v>944</v>
      </c>
      <c r="Q231" s="149" t="s">
        <v>945</v>
      </c>
      <c r="R231" s="149" t="s">
        <v>946</v>
      </c>
      <c r="S231" s="150" t="s">
        <v>947</v>
      </c>
      <c r="T231" s="168"/>
      <c r="U231" s="169"/>
      <c r="V231" s="169"/>
      <c r="W231" s="169"/>
      <c r="X231" s="169"/>
      <c r="Y231" s="170"/>
      <c r="AA231" s="183" t="s">
        <v>943</v>
      </c>
      <c r="AB231" s="183"/>
      <c r="AC231" s="148" t="s">
        <v>944</v>
      </c>
      <c r="AD231" s="149" t="s">
        <v>945</v>
      </c>
      <c r="AE231" s="149" t="s">
        <v>946</v>
      </c>
      <c r="AF231" s="150" t="s">
        <v>947</v>
      </c>
      <c r="AG231" s="168"/>
      <c r="AH231" s="169"/>
      <c r="AI231" s="169"/>
      <c r="AJ231" s="169"/>
      <c r="AK231" s="169"/>
      <c r="AL231" s="170"/>
    </row>
    <row r="232" spans="1:38" x14ac:dyDescent="0.25">
      <c r="A232" s="184" t="s">
        <v>1119</v>
      </c>
      <c r="B232" s="185"/>
      <c r="C232" s="140">
        <v>2</v>
      </c>
      <c r="D232" s="1" t="s">
        <v>950</v>
      </c>
      <c r="E232" s="151">
        <v>8</v>
      </c>
      <c r="F232" s="65" t="s">
        <v>1120</v>
      </c>
      <c r="G232" s="171"/>
      <c r="H232" s="172"/>
      <c r="I232" s="172"/>
      <c r="J232" s="172"/>
      <c r="K232" s="172"/>
      <c r="L232" s="173"/>
      <c r="N232" s="184" t="s">
        <v>970</v>
      </c>
      <c r="O232" s="185"/>
      <c r="P232" s="140">
        <v>1</v>
      </c>
      <c r="Q232" s="1" t="s">
        <v>973</v>
      </c>
      <c r="R232" s="151">
        <v>7</v>
      </c>
      <c r="S232" s="65" t="s">
        <v>1020</v>
      </c>
      <c r="T232" s="171"/>
      <c r="U232" s="172"/>
      <c r="V232" s="172"/>
      <c r="W232" s="172"/>
      <c r="X232" s="172"/>
      <c r="Y232" s="173"/>
      <c r="AA232" s="184" t="s">
        <v>1126</v>
      </c>
      <c r="AB232" s="185"/>
      <c r="AC232" s="140">
        <v>2</v>
      </c>
      <c r="AD232" s="1" t="s">
        <v>950</v>
      </c>
      <c r="AE232" s="151">
        <v>5</v>
      </c>
      <c r="AF232" s="65" t="s">
        <v>1132</v>
      </c>
      <c r="AG232" s="171"/>
      <c r="AH232" s="172"/>
      <c r="AI232" s="172"/>
      <c r="AJ232" s="172"/>
      <c r="AK232" s="172"/>
      <c r="AL232" s="173"/>
    </row>
    <row r="233" spans="1:38" x14ac:dyDescent="0.25">
      <c r="A233" s="186" t="s">
        <v>1121</v>
      </c>
      <c r="B233" s="186"/>
      <c r="C233" s="140">
        <v>1</v>
      </c>
      <c r="D233" s="1" t="s">
        <v>957</v>
      </c>
      <c r="E233" s="151">
        <v>8</v>
      </c>
      <c r="F233" s="65" t="s">
        <v>1122</v>
      </c>
      <c r="G233" s="171"/>
      <c r="H233" s="172"/>
      <c r="I233" s="172"/>
      <c r="J233" s="172"/>
      <c r="K233" s="172"/>
      <c r="L233" s="173"/>
      <c r="N233" s="186" t="s">
        <v>1126</v>
      </c>
      <c r="O233" s="186"/>
      <c r="P233" s="140">
        <v>2</v>
      </c>
      <c r="Q233" s="1" t="s">
        <v>950</v>
      </c>
      <c r="R233" s="151">
        <v>7</v>
      </c>
      <c r="S233" s="65" t="s">
        <v>1020</v>
      </c>
      <c r="T233" s="171"/>
      <c r="U233" s="172"/>
      <c r="V233" s="172"/>
      <c r="W233" s="172"/>
      <c r="X233" s="172"/>
      <c r="Y233" s="173"/>
      <c r="AA233" s="186" t="s">
        <v>1134</v>
      </c>
      <c r="AB233" s="186"/>
      <c r="AC233" s="140" t="s">
        <v>1135</v>
      </c>
      <c r="AD233" s="1" t="s">
        <v>957</v>
      </c>
      <c r="AE233" s="151">
        <v>5</v>
      </c>
      <c r="AF233" s="65" t="s">
        <v>1136</v>
      </c>
      <c r="AG233" s="171"/>
      <c r="AH233" s="172"/>
      <c r="AI233" s="172"/>
      <c r="AJ233" s="172"/>
      <c r="AK233" s="172"/>
      <c r="AL233" s="173"/>
    </row>
    <row r="234" spans="1:38" x14ac:dyDescent="0.25">
      <c r="A234" s="186"/>
      <c r="B234" s="186"/>
      <c r="C234" s="140"/>
      <c r="D234" s="1" t="s">
        <v>975</v>
      </c>
      <c r="E234" s="151"/>
      <c r="F234" s="65"/>
      <c r="G234" s="171"/>
      <c r="H234" s="172"/>
      <c r="I234" s="172"/>
      <c r="J234" s="172"/>
      <c r="K234" s="172"/>
      <c r="L234" s="173"/>
      <c r="N234" s="186" t="s">
        <v>1127</v>
      </c>
      <c r="O234" s="186"/>
      <c r="P234" s="140">
        <v>1</v>
      </c>
      <c r="Q234" s="1" t="s">
        <v>950</v>
      </c>
      <c r="R234" s="151">
        <v>7</v>
      </c>
      <c r="S234" s="65" t="s">
        <v>1128</v>
      </c>
      <c r="T234" s="171"/>
      <c r="U234" s="172"/>
      <c r="V234" s="172"/>
      <c r="W234" s="172"/>
      <c r="X234" s="172"/>
      <c r="Y234" s="173"/>
      <c r="AA234" s="186"/>
      <c r="AB234" s="186"/>
      <c r="AC234" s="140"/>
      <c r="AD234" s="1" t="s">
        <v>975</v>
      </c>
      <c r="AE234" s="151"/>
      <c r="AF234" s="65"/>
      <c r="AG234" s="171"/>
      <c r="AH234" s="172"/>
      <c r="AI234" s="172"/>
      <c r="AJ234" s="172"/>
      <c r="AK234" s="172"/>
      <c r="AL234" s="173"/>
    </row>
    <row r="235" spans="1:38" ht="16.5" x14ac:dyDescent="0.3">
      <c r="A235" s="187" t="s">
        <v>959</v>
      </c>
      <c r="B235" s="187"/>
      <c r="C235" s="187"/>
      <c r="D235" s="188" t="s">
        <v>915</v>
      </c>
      <c r="E235" s="189"/>
      <c r="F235" s="189"/>
      <c r="G235" s="171"/>
      <c r="H235" s="172"/>
      <c r="I235" s="172"/>
      <c r="J235" s="172"/>
      <c r="K235" s="172"/>
      <c r="L235" s="173"/>
      <c r="N235" s="187" t="s">
        <v>959</v>
      </c>
      <c r="O235" s="187"/>
      <c r="P235" s="187"/>
      <c r="Q235" s="188" t="s">
        <v>915</v>
      </c>
      <c r="R235" s="189"/>
      <c r="S235" s="189"/>
      <c r="T235" s="171"/>
      <c r="U235" s="172"/>
      <c r="V235" s="172"/>
      <c r="W235" s="172"/>
      <c r="X235" s="172"/>
      <c r="Y235" s="173"/>
      <c r="AA235" s="187" t="s">
        <v>959</v>
      </c>
      <c r="AB235" s="187"/>
      <c r="AC235" s="187"/>
      <c r="AD235" s="188" t="s">
        <v>915</v>
      </c>
      <c r="AE235" s="189"/>
      <c r="AF235" s="189"/>
      <c r="AG235" s="171"/>
      <c r="AH235" s="172"/>
      <c r="AI235" s="172"/>
      <c r="AJ235" s="172"/>
      <c r="AK235" s="172"/>
      <c r="AL235" s="173"/>
    </row>
    <row r="236" spans="1:38" ht="15.75" thickBot="1" x14ac:dyDescent="0.3">
      <c r="A236" s="167" t="s">
        <v>960</v>
      </c>
      <c r="B236" s="167"/>
      <c r="C236" s="144">
        <f>A207+IF(D235="Int",G214,IF(D235="Wis",I214,IF(D235="Cha",K214,0)))</f>
        <v>4</v>
      </c>
      <c r="D236" s="167" t="s">
        <v>961</v>
      </c>
      <c r="E236" s="167"/>
      <c r="F236" s="152">
        <f>8+A207+IF(D235="Int",G214,IF(D235="Wis",I214,IF(D235="Cha",K214,0)))</f>
        <v>12</v>
      </c>
      <c r="G236" s="171"/>
      <c r="H236" s="172"/>
      <c r="I236" s="172"/>
      <c r="J236" s="172"/>
      <c r="K236" s="172"/>
      <c r="L236" s="173"/>
      <c r="N236" s="167" t="s">
        <v>960</v>
      </c>
      <c r="O236" s="167"/>
      <c r="P236" s="144">
        <f>N207+IF(Q235="Int",T214,IF(Q235="Wis",V214,IF(Q235="Cha",X214,0)))</f>
        <v>3</v>
      </c>
      <c r="Q236" s="167" t="s">
        <v>961</v>
      </c>
      <c r="R236" s="167"/>
      <c r="S236" s="152">
        <f>8+N207+IF(Q235="Int",T214,IF(Q235="Wis",V214,IF(Q235="Cha",X214,0)))</f>
        <v>11</v>
      </c>
      <c r="T236" s="171"/>
      <c r="U236" s="172"/>
      <c r="V236" s="172"/>
      <c r="W236" s="172"/>
      <c r="X236" s="172"/>
      <c r="Y236" s="173"/>
      <c r="AA236" s="167" t="s">
        <v>960</v>
      </c>
      <c r="AB236" s="167"/>
      <c r="AC236" s="144">
        <f>AA207+IF(AD235="Int",AG214,IF(AD235="Wis",AI214,IF(AD235="Cha",AK214,0)))</f>
        <v>2</v>
      </c>
      <c r="AD236" s="167" t="s">
        <v>961</v>
      </c>
      <c r="AE236" s="167"/>
      <c r="AF236" s="152">
        <f>8+AA207+IF(AD235="Int",AG214,IF(AD235="Wis",AI214,IF(AD235="Cha",AK214,0)))</f>
        <v>10</v>
      </c>
      <c r="AG236" s="171"/>
      <c r="AH236" s="172"/>
      <c r="AI236" s="172"/>
      <c r="AJ236" s="172"/>
      <c r="AK236" s="172"/>
      <c r="AL236" s="173"/>
    </row>
    <row r="237" spans="1:38" x14ac:dyDescent="0.25">
      <c r="A237" s="168"/>
      <c r="B237" s="169"/>
      <c r="C237" s="169"/>
      <c r="D237" s="169"/>
      <c r="E237" s="169"/>
      <c r="F237" s="170"/>
      <c r="G237" s="171"/>
      <c r="H237" s="172"/>
      <c r="I237" s="172"/>
      <c r="J237" s="172"/>
      <c r="K237" s="172"/>
      <c r="L237" s="173"/>
      <c r="N237" s="168" t="s">
        <v>1129</v>
      </c>
      <c r="O237" s="169"/>
      <c r="P237" s="169"/>
      <c r="Q237" s="169"/>
      <c r="R237" s="169"/>
      <c r="S237" s="170"/>
      <c r="T237" s="171"/>
      <c r="U237" s="172"/>
      <c r="V237" s="172"/>
      <c r="W237" s="172"/>
      <c r="X237" s="172"/>
      <c r="Y237" s="173"/>
      <c r="AA237" s="168" t="s">
        <v>1133</v>
      </c>
      <c r="AB237" s="169"/>
      <c r="AC237" s="169"/>
      <c r="AD237" s="169"/>
      <c r="AE237" s="169"/>
      <c r="AF237" s="170"/>
      <c r="AG237" s="171"/>
      <c r="AH237" s="172"/>
      <c r="AI237" s="172"/>
      <c r="AJ237" s="172"/>
      <c r="AK237" s="172"/>
      <c r="AL237" s="173"/>
    </row>
    <row r="238" spans="1:38" x14ac:dyDescent="0.25">
      <c r="A238" s="171"/>
      <c r="B238" s="172"/>
      <c r="C238" s="172"/>
      <c r="D238" s="172"/>
      <c r="E238" s="172"/>
      <c r="F238" s="173"/>
      <c r="G238" s="171"/>
      <c r="H238" s="172"/>
      <c r="I238" s="172"/>
      <c r="J238" s="172"/>
      <c r="K238" s="172"/>
      <c r="L238" s="173"/>
      <c r="N238" s="171"/>
      <c r="O238" s="172"/>
      <c r="P238" s="172"/>
      <c r="Q238" s="172"/>
      <c r="R238" s="172"/>
      <c r="S238" s="173"/>
      <c r="T238" s="171"/>
      <c r="U238" s="172"/>
      <c r="V238" s="172"/>
      <c r="W238" s="172"/>
      <c r="X238" s="172"/>
      <c r="Y238" s="173"/>
      <c r="AA238" s="171"/>
      <c r="AB238" s="172"/>
      <c r="AC238" s="172"/>
      <c r="AD238" s="172"/>
      <c r="AE238" s="172"/>
      <c r="AF238" s="173"/>
      <c r="AG238" s="171"/>
      <c r="AH238" s="172"/>
      <c r="AI238" s="172"/>
      <c r="AJ238" s="172"/>
      <c r="AK238" s="172"/>
      <c r="AL238" s="173"/>
    </row>
    <row r="239" spans="1:38" x14ac:dyDescent="0.25">
      <c r="A239" s="171"/>
      <c r="B239" s="172"/>
      <c r="C239" s="172"/>
      <c r="D239" s="172"/>
      <c r="E239" s="172"/>
      <c r="F239" s="173"/>
      <c r="G239" s="171"/>
      <c r="H239" s="172"/>
      <c r="I239" s="172"/>
      <c r="J239" s="172"/>
      <c r="K239" s="172"/>
      <c r="L239" s="173"/>
      <c r="N239" s="171"/>
      <c r="O239" s="172"/>
      <c r="P239" s="172"/>
      <c r="Q239" s="172"/>
      <c r="R239" s="172"/>
      <c r="S239" s="173"/>
      <c r="T239" s="171"/>
      <c r="U239" s="172"/>
      <c r="V239" s="172"/>
      <c r="W239" s="172"/>
      <c r="X239" s="172"/>
      <c r="Y239" s="173"/>
      <c r="AA239" s="171"/>
      <c r="AB239" s="172"/>
      <c r="AC239" s="172"/>
      <c r="AD239" s="172"/>
      <c r="AE239" s="172"/>
      <c r="AF239" s="173"/>
      <c r="AG239" s="171"/>
      <c r="AH239" s="172"/>
      <c r="AI239" s="172"/>
      <c r="AJ239" s="172"/>
      <c r="AK239" s="172"/>
      <c r="AL239" s="173"/>
    </row>
    <row r="240" spans="1:38" x14ac:dyDescent="0.25">
      <c r="A240" s="171"/>
      <c r="B240" s="172"/>
      <c r="C240" s="172"/>
      <c r="D240" s="172"/>
      <c r="E240" s="172"/>
      <c r="F240" s="173"/>
      <c r="G240" s="171"/>
      <c r="H240" s="172"/>
      <c r="I240" s="172"/>
      <c r="J240" s="172"/>
      <c r="K240" s="172"/>
      <c r="L240" s="173"/>
      <c r="N240" s="171"/>
      <c r="O240" s="172"/>
      <c r="P240" s="172"/>
      <c r="Q240" s="172"/>
      <c r="R240" s="172"/>
      <c r="S240" s="173"/>
      <c r="T240" s="171"/>
      <c r="U240" s="172"/>
      <c r="V240" s="172"/>
      <c r="W240" s="172"/>
      <c r="X240" s="172"/>
      <c r="Y240" s="173"/>
      <c r="AA240" s="171"/>
      <c r="AB240" s="172"/>
      <c r="AC240" s="172"/>
      <c r="AD240" s="172"/>
      <c r="AE240" s="172"/>
      <c r="AF240" s="173"/>
      <c r="AG240" s="171"/>
      <c r="AH240" s="172"/>
      <c r="AI240" s="172"/>
      <c r="AJ240" s="172"/>
      <c r="AK240" s="172"/>
      <c r="AL240" s="173"/>
    </row>
    <row r="241" spans="1:38" x14ac:dyDescent="0.25">
      <c r="A241" s="171"/>
      <c r="B241" s="172"/>
      <c r="C241" s="172"/>
      <c r="D241" s="172"/>
      <c r="E241" s="172"/>
      <c r="F241" s="173"/>
      <c r="G241" s="171"/>
      <c r="H241" s="172"/>
      <c r="I241" s="172"/>
      <c r="J241" s="172"/>
      <c r="K241" s="172"/>
      <c r="L241" s="173"/>
      <c r="N241" s="171"/>
      <c r="O241" s="172"/>
      <c r="P241" s="172"/>
      <c r="Q241" s="172"/>
      <c r="R241" s="172"/>
      <c r="S241" s="173"/>
      <c r="T241" s="171"/>
      <c r="U241" s="172"/>
      <c r="V241" s="172"/>
      <c r="W241" s="172"/>
      <c r="X241" s="172"/>
      <c r="Y241" s="173"/>
      <c r="AA241" s="171"/>
      <c r="AB241" s="172"/>
      <c r="AC241" s="172"/>
      <c r="AD241" s="172"/>
      <c r="AE241" s="172"/>
      <c r="AF241" s="173"/>
      <c r="AG241" s="171"/>
      <c r="AH241" s="172"/>
      <c r="AI241" s="172"/>
      <c r="AJ241" s="172"/>
      <c r="AK241" s="172"/>
      <c r="AL241" s="173"/>
    </row>
    <row r="242" spans="1:38" x14ac:dyDescent="0.25">
      <c r="A242" s="171"/>
      <c r="B242" s="172"/>
      <c r="C242" s="172"/>
      <c r="D242" s="172"/>
      <c r="E242" s="172"/>
      <c r="F242" s="173"/>
      <c r="G242" s="171"/>
      <c r="H242" s="172"/>
      <c r="I242" s="172"/>
      <c r="J242" s="172"/>
      <c r="K242" s="172"/>
      <c r="L242" s="173"/>
      <c r="N242" s="171"/>
      <c r="O242" s="172"/>
      <c r="P242" s="172"/>
      <c r="Q242" s="172"/>
      <c r="R242" s="172"/>
      <c r="S242" s="173"/>
      <c r="T242" s="171"/>
      <c r="U242" s="172"/>
      <c r="V242" s="172"/>
      <c r="W242" s="172"/>
      <c r="X242" s="172"/>
      <c r="Y242" s="173"/>
      <c r="AA242" s="171"/>
      <c r="AB242" s="172"/>
      <c r="AC242" s="172"/>
      <c r="AD242" s="172"/>
      <c r="AE242" s="172"/>
      <c r="AF242" s="173"/>
      <c r="AG242" s="171"/>
      <c r="AH242" s="172"/>
      <c r="AI242" s="172"/>
      <c r="AJ242" s="172"/>
      <c r="AK242" s="172"/>
      <c r="AL242" s="173"/>
    </row>
    <row r="243" spans="1:38" x14ac:dyDescent="0.25">
      <c r="A243" s="171"/>
      <c r="B243" s="172"/>
      <c r="C243" s="172"/>
      <c r="D243" s="172"/>
      <c r="E243" s="172"/>
      <c r="F243" s="173"/>
      <c r="G243" s="171"/>
      <c r="H243" s="172"/>
      <c r="I243" s="172"/>
      <c r="J243" s="172"/>
      <c r="K243" s="172"/>
      <c r="L243" s="173"/>
      <c r="N243" s="171"/>
      <c r="O243" s="172"/>
      <c r="P243" s="172"/>
      <c r="Q243" s="172"/>
      <c r="R243" s="172"/>
      <c r="S243" s="173"/>
      <c r="T243" s="171"/>
      <c r="U243" s="172"/>
      <c r="V243" s="172"/>
      <c r="W243" s="172"/>
      <c r="X243" s="172"/>
      <c r="Y243" s="173"/>
      <c r="AA243" s="171"/>
      <c r="AB243" s="172"/>
      <c r="AC243" s="172"/>
      <c r="AD243" s="172"/>
      <c r="AE243" s="172"/>
      <c r="AF243" s="173"/>
      <c r="AG243" s="171"/>
      <c r="AH243" s="172"/>
      <c r="AI243" s="172"/>
      <c r="AJ243" s="172"/>
      <c r="AK243" s="172"/>
      <c r="AL243" s="173"/>
    </row>
    <row r="244" spans="1:38" x14ac:dyDescent="0.25">
      <c r="A244" s="171"/>
      <c r="B244" s="172"/>
      <c r="C244" s="172"/>
      <c r="D244" s="172"/>
      <c r="E244" s="172"/>
      <c r="F244" s="173"/>
      <c r="G244" s="171"/>
      <c r="H244" s="172"/>
      <c r="I244" s="172"/>
      <c r="J244" s="172"/>
      <c r="K244" s="172"/>
      <c r="L244" s="173"/>
      <c r="N244" s="171"/>
      <c r="O244" s="172"/>
      <c r="P244" s="172"/>
      <c r="Q244" s="172"/>
      <c r="R244" s="172"/>
      <c r="S244" s="173"/>
      <c r="T244" s="171"/>
      <c r="U244" s="172"/>
      <c r="V244" s="172"/>
      <c r="W244" s="172"/>
      <c r="X244" s="172"/>
      <c r="Y244" s="173"/>
      <c r="AA244" s="171"/>
      <c r="AB244" s="172"/>
      <c r="AC244" s="172"/>
      <c r="AD244" s="172"/>
      <c r="AE244" s="172"/>
      <c r="AF244" s="173"/>
      <c r="AG244" s="171"/>
      <c r="AH244" s="172"/>
      <c r="AI244" s="172"/>
      <c r="AJ244" s="172"/>
      <c r="AK244" s="172"/>
      <c r="AL244" s="173"/>
    </row>
    <row r="245" spans="1:38" ht="15.75" thickBot="1" x14ac:dyDescent="0.3">
      <c r="A245" s="174"/>
      <c r="B245" s="175"/>
      <c r="C245" s="175"/>
      <c r="D245" s="175"/>
      <c r="E245" s="175"/>
      <c r="F245" s="176"/>
      <c r="G245" s="174"/>
      <c r="H245" s="175"/>
      <c r="I245" s="175"/>
      <c r="J245" s="175"/>
      <c r="K245" s="175"/>
      <c r="L245" s="176"/>
      <c r="N245" s="174"/>
      <c r="O245" s="175"/>
      <c r="P245" s="175"/>
      <c r="Q245" s="175"/>
      <c r="R245" s="175"/>
      <c r="S245" s="176"/>
      <c r="T245" s="174"/>
      <c r="U245" s="175"/>
      <c r="V245" s="175"/>
      <c r="W245" s="175"/>
      <c r="X245" s="175"/>
      <c r="Y245" s="176"/>
      <c r="AA245" s="174"/>
      <c r="AB245" s="175"/>
      <c r="AC245" s="175"/>
      <c r="AD245" s="175"/>
      <c r="AE245" s="175"/>
      <c r="AF245" s="176"/>
      <c r="AG245" s="174"/>
      <c r="AH245" s="175"/>
      <c r="AI245" s="175"/>
      <c r="AJ245" s="175"/>
      <c r="AK245" s="175"/>
      <c r="AL245" s="176"/>
    </row>
    <row r="247" spans="1:38" ht="17.25" x14ac:dyDescent="0.25">
      <c r="A247" s="127">
        <v>19</v>
      </c>
      <c r="B247" s="236" t="s">
        <v>406</v>
      </c>
      <c r="C247" s="236"/>
      <c r="D247" s="236"/>
      <c r="E247" s="236"/>
      <c r="F247" s="236"/>
      <c r="G247" s="236"/>
      <c r="H247" s="236"/>
      <c r="I247" s="236"/>
      <c r="J247" s="236"/>
      <c r="K247" s="236"/>
      <c r="L247" s="236"/>
      <c r="N247" s="127">
        <v>20</v>
      </c>
      <c r="O247" s="236" t="s">
        <v>1139</v>
      </c>
      <c r="P247" s="236"/>
      <c r="Q247" s="236"/>
      <c r="R247" s="236"/>
      <c r="S247" s="236"/>
      <c r="T247" s="236"/>
      <c r="U247" s="236"/>
      <c r="V247" s="236"/>
      <c r="W247" s="236"/>
      <c r="X247" s="236"/>
      <c r="Y247" s="236"/>
      <c r="AA247" s="127">
        <v>21</v>
      </c>
      <c r="AB247" s="236" t="s">
        <v>1145</v>
      </c>
      <c r="AC247" s="236"/>
      <c r="AD247" s="236"/>
      <c r="AE247" s="236"/>
      <c r="AF247" s="236"/>
      <c r="AG247" s="236"/>
      <c r="AH247" s="236"/>
      <c r="AI247" s="236"/>
      <c r="AJ247" s="236"/>
      <c r="AK247" s="236"/>
      <c r="AL247" s="236"/>
    </row>
    <row r="248" spans="1:38" ht="21" x14ac:dyDescent="0.25">
      <c r="A248" s="128">
        <v>2</v>
      </c>
      <c r="B248" s="236"/>
      <c r="C248" s="236"/>
      <c r="D248" s="236"/>
      <c r="E248" s="236"/>
      <c r="F248" s="236"/>
      <c r="G248" s="236"/>
      <c r="H248" s="236"/>
      <c r="I248" s="236"/>
      <c r="J248" s="236"/>
      <c r="K248" s="236"/>
      <c r="L248" s="236"/>
      <c r="N248" s="128">
        <v>2</v>
      </c>
      <c r="O248" s="236"/>
      <c r="P248" s="236"/>
      <c r="Q248" s="236"/>
      <c r="R248" s="236"/>
      <c r="S248" s="236"/>
      <c r="T248" s="236"/>
      <c r="U248" s="236"/>
      <c r="V248" s="236"/>
      <c r="W248" s="236"/>
      <c r="X248" s="236"/>
      <c r="Y248" s="236"/>
      <c r="AA248" s="128">
        <v>2</v>
      </c>
      <c r="AB248" s="236"/>
      <c r="AC248" s="236"/>
      <c r="AD248" s="236"/>
      <c r="AE248" s="236"/>
      <c r="AF248" s="236"/>
      <c r="AG248" s="236"/>
      <c r="AH248" s="236"/>
      <c r="AI248" s="236"/>
      <c r="AJ248" s="236"/>
      <c r="AK248" s="236"/>
      <c r="AL248" s="236"/>
    </row>
    <row r="249" spans="1:38" ht="16.5" x14ac:dyDescent="0.3">
      <c r="A249" s="237" t="s">
        <v>37</v>
      </c>
      <c r="B249" s="237"/>
      <c r="C249" s="237" t="s">
        <v>18</v>
      </c>
      <c r="D249" s="237"/>
      <c r="E249" s="237" t="s">
        <v>1004</v>
      </c>
      <c r="F249" s="237"/>
      <c r="G249" s="238" t="s">
        <v>909</v>
      </c>
      <c r="H249" s="239">
        <v>15</v>
      </c>
      <c r="I249" s="229" t="s">
        <v>1013</v>
      </c>
      <c r="J249" s="230"/>
      <c r="K249" s="230"/>
      <c r="L249" s="231"/>
      <c r="N249" s="237" t="s">
        <v>37</v>
      </c>
      <c r="O249" s="237"/>
      <c r="P249" s="237" t="s">
        <v>18</v>
      </c>
      <c r="Q249" s="237"/>
      <c r="R249" s="237" t="s">
        <v>982</v>
      </c>
      <c r="S249" s="237"/>
      <c r="T249" s="238" t="s">
        <v>909</v>
      </c>
      <c r="U249" s="239">
        <v>16</v>
      </c>
      <c r="V249" s="229" t="s">
        <v>1142</v>
      </c>
      <c r="W249" s="230"/>
      <c r="X249" s="230"/>
      <c r="Y249" s="231"/>
      <c r="AA249" s="237" t="s">
        <v>37</v>
      </c>
      <c r="AB249" s="237"/>
      <c r="AC249" s="237" t="s">
        <v>18</v>
      </c>
      <c r="AD249" s="237"/>
      <c r="AE249" s="237" t="s">
        <v>964</v>
      </c>
      <c r="AF249" s="237"/>
      <c r="AG249" s="238" t="s">
        <v>909</v>
      </c>
      <c r="AH249" s="239">
        <v>17</v>
      </c>
      <c r="AI249" s="229" t="s">
        <v>1146</v>
      </c>
      <c r="AJ249" s="230"/>
      <c r="AK249" s="230"/>
      <c r="AL249" s="231"/>
    </row>
    <row r="250" spans="1:38" x14ac:dyDescent="0.25">
      <c r="A250" s="228" t="s">
        <v>2</v>
      </c>
      <c r="B250" s="228"/>
      <c r="C250" s="228" t="s">
        <v>912</v>
      </c>
      <c r="D250" s="228"/>
      <c r="E250" s="228" t="s">
        <v>913</v>
      </c>
      <c r="F250" s="228"/>
      <c r="G250" s="238"/>
      <c r="H250" s="239"/>
      <c r="I250" s="229"/>
      <c r="J250" s="230"/>
      <c r="K250" s="230"/>
      <c r="L250" s="231"/>
      <c r="N250" s="228" t="s">
        <v>2</v>
      </c>
      <c r="O250" s="228"/>
      <c r="P250" s="228" t="s">
        <v>912</v>
      </c>
      <c r="Q250" s="228"/>
      <c r="R250" s="228" t="s">
        <v>913</v>
      </c>
      <c r="S250" s="228"/>
      <c r="T250" s="238"/>
      <c r="U250" s="239"/>
      <c r="V250" s="229"/>
      <c r="W250" s="230"/>
      <c r="X250" s="230"/>
      <c r="Y250" s="231"/>
      <c r="AA250" s="228" t="s">
        <v>2</v>
      </c>
      <c r="AB250" s="228"/>
      <c r="AC250" s="228" t="s">
        <v>912</v>
      </c>
      <c r="AD250" s="228"/>
      <c r="AE250" s="228" t="s">
        <v>913</v>
      </c>
      <c r="AF250" s="228"/>
      <c r="AG250" s="238"/>
      <c r="AH250" s="239"/>
      <c r="AI250" s="229"/>
      <c r="AJ250" s="230"/>
      <c r="AK250" s="230"/>
      <c r="AL250" s="231"/>
    </row>
    <row r="251" spans="1:38" x14ac:dyDescent="0.25">
      <c r="A251" s="232">
        <f>C255</f>
        <v>3</v>
      </c>
      <c r="B251" s="232"/>
      <c r="C251" s="233">
        <v>30</v>
      </c>
      <c r="D251" s="233"/>
      <c r="E251" s="233"/>
      <c r="F251" s="233"/>
      <c r="G251" s="235">
        <v>10</v>
      </c>
      <c r="H251" s="235" t="str">
        <f>IF(C249="Tiny","d4",IF(C249="Small","d6",IF(C249="Medium","d8",IF(C249="Large","d10",IF(C249="Huge","d12",IF(C249="Gargantuan","d20",""))))))</f>
        <v>d8</v>
      </c>
      <c r="I251" s="223">
        <f>IFERROR(G251*E255,0)</f>
        <v>20</v>
      </c>
      <c r="J251" s="224">
        <f>ROUNDDOWN((0.5*(1+VALUE(RIGHT(H251,LEN(H251)-1)))+IF(E255="",0,E255))*G251,0)</f>
        <v>65</v>
      </c>
      <c r="K251" s="224"/>
      <c r="L251" s="225">
        <v>2</v>
      </c>
      <c r="N251" s="232">
        <f>P255</f>
        <v>3</v>
      </c>
      <c r="O251" s="232"/>
      <c r="P251" s="233">
        <v>30</v>
      </c>
      <c r="Q251" s="233"/>
      <c r="R251" s="233"/>
      <c r="S251" s="233"/>
      <c r="T251" s="235">
        <v>8</v>
      </c>
      <c r="U251" s="235" t="str">
        <f>IF(P249="Tiny","d4",IF(P249="Small","d6",IF(P249="Medium","d8",IF(P249="Large","d10",IF(P249="Huge","d12",IF(P249="Gargantuan","d20",""))))))</f>
        <v>d8</v>
      </c>
      <c r="V251" s="223">
        <f>IFERROR(T251*R255,0)</f>
        <v>8</v>
      </c>
      <c r="W251" s="224">
        <f>ROUNDDOWN((0.5*(1+VALUE(RIGHT(U251,LEN(U251)-1)))+IF(R255="",0,R255))*T251,0)</f>
        <v>44</v>
      </c>
      <c r="X251" s="224"/>
      <c r="Y251" s="225">
        <v>2</v>
      </c>
      <c r="AA251" s="232">
        <f>AC255</f>
        <v>1</v>
      </c>
      <c r="AB251" s="232"/>
      <c r="AC251" s="233">
        <v>30</v>
      </c>
      <c r="AD251" s="233"/>
      <c r="AE251" s="233"/>
      <c r="AF251" s="233"/>
      <c r="AG251" s="235">
        <v>6</v>
      </c>
      <c r="AH251" s="235" t="str">
        <f>IF(AC249="Tiny","d4",IF(AC249="Small","d6",IF(AC249="Medium","d8",IF(AC249="Large","d10",IF(AC249="Huge","d12",IF(AC249="Gargantuan","d20",""))))))</f>
        <v>d8</v>
      </c>
      <c r="AI251" s="223">
        <f>IFERROR(AG251*AE255,0)</f>
        <v>18</v>
      </c>
      <c r="AJ251" s="224">
        <f>ROUNDDOWN((0.5*(1+VALUE(RIGHT(AH251,LEN(AH251)-1)))+IF(AE255="",0,AE255))*AG251,0)</f>
        <v>45</v>
      </c>
      <c r="AK251" s="224"/>
      <c r="AL251" s="225">
        <v>4</v>
      </c>
    </row>
    <row r="252" spans="1:38" x14ac:dyDescent="0.25">
      <c r="A252" s="232"/>
      <c r="B252" s="232"/>
      <c r="C252" s="234"/>
      <c r="D252" s="234"/>
      <c r="E252" s="234"/>
      <c r="F252" s="234"/>
      <c r="G252" s="235"/>
      <c r="H252" s="235"/>
      <c r="I252" s="223"/>
      <c r="J252" s="224"/>
      <c r="K252" s="224"/>
      <c r="L252" s="225"/>
      <c r="N252" s="232"/>
      <c r="O252" s="232"/>
      <c r="P252" s="234"/>
      <c r="Q252" s="234"/>
      <c r="R252" s="234"/>
      <c r="S252" s="234"/>
      <c r="T252" s="235"/>
      <c r="U252" s="235"/>
      <c r="V252" s="223"/>
      <c r="W252" s="224"/>
      <c r="X252" s="224"/>
      <c r="Y252" s="225"/>
      <c r="AA252" s="232"/>
      <c r="AB252" s="232"/>
      <c r="AC252" s="234"/>
      <c r="AD252" s="234"/>
      <c r="AE252" s="234"/>
      <c r="AF252" s="234"/>
      <c r="AG252" s="235"/>
      <c r="AH252" s="235"/>
      <c r="AI252" s="223"/>
      <c r="AJ252" s="224"/>
      <c r="AK252" s="224"/>
      <c r="AL252" s="225"/>
    </row>
    <row r="253" spans="1:38" ht="15.75" thickBot="1" x14ac:dyDescent="0.3">
      <c r="A253" s="226" t="str">
        <f>"Base Init:"&amp;C255</f>
        <v>Base Init:3</v>
      </c>
      <c r="B253" s="226"/>
      <c r="C253" s="129" t="s">
        <v>914</v>
      </c>
      <c r="D253" s="129" t="s">
        <v>915</v>
      </c>
      <c r="E253" s="129" t="s">
        <v>915</v>
      </c>
      <c r="F253" s="129" t="s">
        <v>915</v>
      </c>
      <c r="G253" s="226" t="s">
        <v>916</v>
      </c>
      <c r="H253" s="226"/>
      <c r="I253" s="226"/>
      <c r="J253" s="226"/>
      <c r="K253" s="226"/>
      <c r="L253" s="129" t="s">
        <v>11</v>
      </c>
      <c r="N253" s="226" t="str">
        <f>"Base Init:"&amp;P255</f>
        <v>Base Init:3</v>
      </c>
      <c r="O253" s="226"/>
      <c r="P253" s="129" t="s">
        <v>914</v>
      </c>
      <c r="Q253" s="129" t="s">
        <v>915</v>
      </c>
      <c r="R253" s="129" t="s">
        <v>915</v>
      </c>
      <c r="S253" s="129" t="s">
        <v>915</v>
      </c>
      <c r="T253" s="226" t="s">
        <v>916</v>
      </c>
      <c r="U253" s="226"/>
      <c r="V253" s="226"/>
      <c r="W253" s="226"/>
      <c r="X253" s="226"/>
      <c r="Y253" s="129" t="s">
        <v>11</v>
      </c>
      <c r="AA253" s="226" t="str">
        <f>"Base Init:"&amp;AC255</f>
        <v>Base Init:1</v>
      </c>
      <c r="AB253" s="226"/>
      <c r="AC253" s="129" t="s">
        <v>914</v>
      </c>
      <c r="AD253" s="129" t="s">
        <v>915</v>
      </c>
      <c r="AE253" s="129" t="s">
        <v>915</v>
      </c>
      <c r="AF253" s="129" t="s">
        <v>915</v>
      </c>
      <c r="AG253" s="226" t="s">
        <v>916</v>
      </c>
      <c r="AH253" s="226"/>
      <c r="AI253" s="226"/>
      <c r="AJ253" s="226"/>
      <c r="AK253" s="226"/>
      <c r="AL253" s="129" t="s">
        <v>11</v>
      </c>
    </row>
    <row r="254" spans="1:38" ht="17.25" x14ac:dyDescent="0.25">
      <c r="A254" s="227">
        <v>15</v>
      </c>
      <c r="B254" s="219"/>
      <c r="C254" s="218">
        <v>16</v>
      </c>
      <c r="D254" s="219"/>
      <c r="E254" s="218">
        <v>14</v>
      </c>
      <c r="F254" s="219"/>
      <c r="G254" s="218">
        <v>14</v>
      </c>
      <c r="H254" s="219"/>
      <c r="I254" s="218">
        <v>11</v>
      </c>
      <c r="J254" s="219"/>
      <c r="K254" s="218">
        <v>14</v>
      </c>
      <c r="L254" s="219"/>
      <c r="N254" s="227">
        <v>12</v>
      </c>
      <c r="O254" s="219"/>
      <c r="P254" s="218">
        <v>16</v>
      </c>
      <c r="Q254" s="219"/>
      <c r="R254" s="218">
        <v>12</v>
      </c>
      <c r="S254" s="219"/>
      <c r="T254" s="218">
        <v>12</v>
      </c>
      <c r="U254" s="219"/>
      <c r="V254" s="218">
        <v>10</v>
      </c>
      <c r="W254" s="219"/>
      <c r="X254" s="218">
        <v>14</v>
      </c>
      <c r="Y254" s="219"/>
      <c r="AA254" s="227">
        <v>19</v>
      </c>
      <c r="AB254" s="219"/>
      <c r="AC254" s="218">
        <v>13</v>
      </c>
      <c r="AD254" s="219"/>
      <c r="AE254" s="218">
        <v>16</v>
      </c>
      <c r="AF254" s="219"/>
      <c r="AG254" s="218">
        <v>10</v>
      </c>
      <c r="AH254" s="219"/>
      <c r="AI254" s="218">
        <v>14</v>
      </c>
      <c r="AJ254" s="219"/>
      <c r="AK254" s="218">
        <v>12</v>
      </c>
      <c r="AL254" s="219"/>
    </row>
    <row r="255" spans="1:38" x14ac:dyDescent="0.25">
      <c r="A255" s="220">
        <f>IF(A254=0,"",IF(A254&gt;10,ROUNDDOWN((A254-10)/2,0),ROUNDUP((A254-10)/2,0)))</f>
        <v>2</v>
      </c>
      <c r="B255" s="221"/>
      <c r="C255" s="222">
        <f>IF(C254=0,"",IF(C254&gt;10,ROUNDDOWN((C254-10)/2,0),ROUNDUP((C254-10)/2,0)))</f>
        <v>3</v>
      </c>
      <c r="D255" s="221"/>
      <c r="E255" s="222">
        <f>IF(E254=0,"",IF(E254&gt;10,ROUNDDOWN((E254-10)/2,0),ROUNDUP((E254-10)/2,0)))</f>
        <v>2</v>
      </c>
      <c r="F255" s="221"/>
      <c r="G255" s="222">
        <f>IF(G254=0,"",IF(G254&gt;10,ROUNDDOWN((G254-10)/2,0),ROUNDUP((G254-10)/2,0)))</f>
        <v>2</v>
      </c>
      <c r="H255" s="221"/>
      <c r="I255" s="222">
        <f>IF(I254=0,"",IF(I254&gt;10,ROUNDDOWN((I254-10)/2,0),ROUNDUP((I254-10)/2,0)))</f>
        <v>0</v>
      </c>
      <c r="J255" s="221"/>
      <c r="K255" s="222">
        <f>IF(K254=0,"",IF(K254&gt;10,ROUNDDOWN((K254-10)/2,0),ROUNDUP((K254-10)/2,0)))</f>
        <v>2</v>
      </c>
      <c r="L255" s="221"/>
      <c r="N255" s="220">
        <f>IF(N254=0,"",IF(N254&gt;10,ROUNDDOWN((N254-10)/2,0),ROUNDUP((N254-10)/2,0)))</f>
        <v>1</v>
      </c>
      <c r="O255" s="221"/>
      <c r="P255" s="222">
        <f>IF(P254=0,"",IF(P254&gt;10,ROUNDDOWN((P254-10)/2,0),ROUNDUP((P254-10)/2,0)))</f>
        <v>3</v>
      </c>
      <c r="Q255" s="221"/>
      <c r="R255" s="222">
        <f>IF(R254=0,"",IF(R254&gt;10,ROUNDDOWN((R254-10)/2,0),ROUNDUP((R254-10)/2,0)))</f>
        <v>1</v>
      </c>
      <c r="S255" s="221"/>
      <c r="T255" s="222">
        <f>IF(T254=0,"",IF(T254&gt;10,ROUNDDOWN((T254-10)/2,0),ROUNDUP((T254-10)/2,0)))</f>
        <v>1</v>
      </c>
      <c r="U255" s="221"/>
      <c r="V255" s="222">
        <f>IF(V254=0,"",IF(V254&gt;10,ROUNDDOWN((V254-10)/2,0),ROUNDUP((V254-10)/2,0)))</f>
        <v>0</v>
      </c>
      <c r="W255" s="221"/>
      <c r="X255" s="222">
        <f>IF(X254=0,"",IF(X254&gt;10,ROUNDDOWN((X254-10)/2,0),ROUNDUP((X254-10)/2,0)))</f>
        <v>2</v>
      </c>
      <c r="Y255" s="221"/>
      <c r="AA255" s="220">
        <f>IF(AA254=0,"",IF(AA254&gt;10,ROUNDDOWN((AA254-10)/2,0),ROUNDUP((AA254-10)/2,0)))</f>
        <v>4</v>
      </c>
      <c r="AB255" s="221"/>
      <c r="AC255" s="222">
        <f>IF(AC254=0,"",IF(AC254&gt;10,ROUNDDOWN((AC254-10)/2,0),ROUNDUP((AC254-10)/2,0)))</f>
        <v>1</v>
      </c>
      <c r="AD255" s="221"/>
      <c r="AE255" s="222">
        <f>IF(AE254=0,"",IF(AE254&gt;10,ROUNDDOWN((AE254-10)/2,0),ROUNDUP((AE254-10)/2,0)))</f>
        <v>3</v>
      </c>
      <c r="AF255" s="221"/>
      <c r="AG255" s="222">
        <f>IF(AG254=0,"",IF(AG254&gt;10,ROUNDDOWN((AG254-10)/2,0),ROUNDUP((AG254-10)/2,0)))</f>
        <v>0</v>
      </c>
      <c r="AH255" s="221"/>
      <c r="AI255" s="222">
        <f>IF(AI254=0,"",IF(AI254&gt;10,ROUNDDOWN((AI254-10)/2,0),ROUNDUP((AI254-10)/2,0)))</f>
        <v>2</v>
      </c>
      <c r="AJ255" s="221"/>
      <c r="AK255" s="222">
        <f>IF(AK254=0,"",IF(AK254&gt;10,ROUNDDOWN((AK254-10)/2,0),ROUNDUP((AK254-10)/2,0)))</f>
        <v>1</v>
      </c>
      <c r="AL255" s="221"/>
    </row>
    <row r="256" spans="1:38" x14ac:dyDescent="0.25">
      <c r="A256" s="220"/>
      <c r="B256" s="221"/>
      <c r="C256" s="222"/>
      <c r="D256" s="221"/>
      <c r="E256" s="222"/>
      <c r="F256" s="221"/>
      <c r="G256" s="222"/>
      <c r="H256" s="221"/>
      <c r="I256" s="222"/>
      <c r="J256" s="221"/>
      <c r="K256" s="222"/>
      <c r="L256" s="221"/>
      <c r="N256" s="220"/>
      <c r="O256" s="221"/>
      <c r="P256" s="222"/>
      <c r="Q256" s="221"/>
      <c r="R256" s="222"/>
      <c r="S256" s="221"/>
      <c r="T256" s="222"/>
      <c r="U256" s="221"/>
      <c r="V256" s="222"/>
      <c r="W256" s="221"/>
      <c r="X256" s="222"/>
      <c r="Y256" s="221"/>
      <c r="AA256" s="220"/>
      <c r="AB256" s="221"/>
      <c r="AC256" s="222"/>
      <c r="AD256" s="221"/>
      <c r="AE256" s="222"/>
      <c r="AF256" s="221"/>
      <c r="AG256" s="222"/>
      <c r="AH256" s="221"/>
      <c r="AI256" s="222"/>
      <c r="AJ256" s="221"/>
      <c r="AK256" s="222"/>
      <c r="AL256" s="221"/>
    </row>
    <row r="257" spans="1:38" ht="15.75" thickBot="1" x14ac:dyDescent="0.3">
      <c r="A257" s="215" t="s">
        <v>917</v>
      </c>
      <c r="B257" s="216"/>
      <c r="C257" s="217" t="s">
        <v>918</v>
      </c>
      <c r="D257" s="216"/>
      <c r="E257" s="217" t="s">
        <v>919</v>
      </c>
      <c r="F257" s="216"/>
      <c r="G257" s="217" t="s">
        <v>920</v>
      </c>
      <c r="H257" s="216"/>
      <c r="I257" s="217" t="s">
        <v>921</v>
      </c>
      <c r="J257" s="216"/>
      <c r="K257" s="217" t="s">
        <v>922</v>
      </c>
      <c r="L257" s="216"/>
      <c r="N257" s="215" t="s">
        <v>917</v>
      </c>
      <c r="O257" s="216"/>
      <c r="P257" s="217" t="s">
        <v>918</v>
      </c>
      <c r="Q257" s="216"/>
      <c r="R257" s="217" t="s">
        <v>919</v>
      </c>
      <c r="S257" s="216"/>
      <c r="T257" s="217" t="s">
        <v>920</v>
      </c>
      <c r="U257" s="216"/>
      <c r="V257" s="217" t="s">
        <v>921</v>
      </c>
      <c r="W257" s="216"/>
      <c r="X257" s="217" t="s">
        <v>922</v>
      </c>
      <c r="Y257" s="216"/>
      <c r="AA257" s="215" t="s">
        <v>917</v>
      </c>
      <c r="AB257" s="216"/>
      <c r="AC257" s="217" t="s">
        <v>918</v>
      </c>
      <c r="AD257" s="216"/>
      <c r="AE257" s="217" t="s">
        <v>919</v>
      </c>
      <c r="AF257" s="216"/>
      <c r="AG257" s="217" t="s">
        <v>920</v>
      </c>
      <c r="AH257" s="216"/>
      <c r="AI257" s="217" t="s">
        <v>921</v>
      </c>
      <c r="AJ257" s="216"/>
      <c r="AK257" s="217" t="s">
        <v>922</v>
      </c>
      <c r="AL257" s="216"/>
    </row>
    <row r="258" spans="1:38" ht="15.75" thickBot="1" x14ac:dyDescent="0.3">
      <c r="A258" s="180" t="s">
        <v>923</v>
      </c>
      <c r="B258" s="181"/>
      <c r="C258" s="181"/>
      <c r="D258" s="181"/>
      <c r="E258" s="181"/>
      <c r="F258" s="182"/>
      <c r="G258" s="180" t="s">
        <v>924</v>
      </c>
      <c r="H258" s="181"/>
      <c r="I258" s="181"/>
      <c r="J258" s="181"/>
      <c r="K258" s="181"/>
      <c r="L258" s="182"/>
      <c r="N258" s="180" t="s">
        <v>923</v>
      </c>
      <c r="O258" s="181"/>
      <c r="P258" s="181"/>
      <c r="Q258" s="181"/>
      <c r="R258" s="181"/>
      <c r="S258" s="182"/>
      <c r="T258" s="180" t="s">
        <v>924</v>
      </c>
      <c r="U258" s="181"/>
      <c r="V258" s="181"/>
      <c r="W258" s="181"/>
      <c r="X258" s="181"/>
      <c r="Y258" s="182"/>
      <c r="AA258" s="180" t="s">
        <v>923</v>
      </c>
      <c r="AB258" s="181"/>
      <c r="AC258" s="181"/>
      <c r="AD258" s="181"/>
      <c r="AE258" s="181"/>
      <c r="AF258" s="182"/>
      <c r="AG258" s="180" t="s">
        <v>924</v>
      </c>
      <c r="AH258" s="181"/>
      <c r="AI258" s="181"/>
      <c r="AJ258" s="181"/>
      <c r="AK258" s="181"/>
      <c r="AL258" s="182"/>
    </row>
    <row r="259" spans="1:38" ht="16.5" x14ac:dyDescent="0.3">
      <c r="A259" s="131" t="s">
        <v>917</v>
      </c>
      <c r="B259" s="132">
        <f>IFERROR(IF(C259="prof",A255+A248,A255),"")</f>
        <v>4</v>
      </c>
      <c r="C259" s="133" t="s">
        <v>932</v>
      </c>
      <c r="D259" s="134" t="s">
        <v>920</v>
      </c>
      <c r="E259" s="135">
        <f>IFERROR(IF(F259="prof",G255+A248,G255),"")</f>
        <v>4</v>
      </c>
      <c r="F259" s="136" t="s">
        <v>932</v>
      </c>
      <c r="G259" s="207" t="s">
        <v>926</v>
      </c>
      <c r="H259" s="208"/>
      <c r="I259" s="208"/>
      <c r="J259" s="211">
        <f>IFERROR(IF(L259="prof",I255+A248+10,I255+10),"")</f>
        <v>10</v>
      </c>
      <c r="K259" s="211"/>
      <c r="L259" s="213" t="s">
        <v>925</v>
      </c>
      <c r="N259" s="131" t="s">
        <v>917</v>
      </c>
      <c r="O259" s="132">
        <f>IFERROR(IF(P259="prof",N255+N248,N255),"")</f>
        <v>3</v>
      </c>
      <c r="P259" s="133" t="s">
        <v>932</v>
      </c>
      <c r="Q259" s="134" t="s">
        <v>920</v>
      </c>
      <c r="R259" s="135">
        <f>IFERROR(IF(S259="prof",T255+N248,T255),"")</f>
        <v>3</v>
      </c>
      <c r="S259" s="136" t="s">
        <v>932</v>
      </c>
      <c r="T259" s="207" t="s">
        <v>926</v>
      </c>
      <c r="U259" s="208"/>
      <c r="V259" s="208"/>
      <c r="W259" s="211">
        <f>IFERROR(IF(Y259="prof",V255+N248+10,V255+10),"")</f>
        <v>12</v>
      </c>
      <c r="X259" s="211"/>
      <c r="Y259" s="213" t="s">
        <v>932</v>
      </c>
      <c r="AA259" s="131" t="s">
        <v>917</v>
      </c>
      <c r="AB259" s="132">
        <f>IFERROR(IF(AC259="prof",AA255+AA248,AA255),"")</f>
        <v>6</v>
      </c>
      <c r="AC259" s="133" t="s">
        <v>932</v>
      </c>
      <c r="AD259" s="134" t="s">
        <v>920</v>
      </c>
      <c r="AE259" s="135">
        <f>IFERROR(IF(AF259="prof",AG255+AA248,AG255),"")</f>
        <v>0</v>
      </c>
      <c r="AF259" s="136" t="s">
        <v>925</v>
      </c>
      <c r="AG259" s="207" t="s">
        <v>926</v>
      </c>
      <c r="AH259" s="208"/>
      <c r="AI259" s="208"/>
      <c r="AJ259" s="211">
        <f>IFERROR(IF(AL259="prof",AI255+AA248+10,AI255+10),"")</f>
        <v>14</v>
      </c>
      <c r="AK259" s="211"/>
      <c r="AL259" s="213" t="s">
        <v>932</v>
      </c>
    </row>
    <row r="260" spans="1:38" ht="16.5" x14ac:dyDescent="0.3">
      <c r="A260" s="134" t="s">
        <v>918</v>
      </c>
      <c r="B260" s="135">
        <f>IFERROR(IF(C260="prof",C255+A248,C255),"")</f>
        <v>5</v>
      </c>
      <c r="C260" s="137" t="s">
        <v>932</v>
      </c>
      <c r="D260" s="134" t="s">
        <v>921</v>
      </c>
      <c r="E260" s="135">
        <f>IFERROR(IF(F260="prof",I255+A248,I255),"")</f>
        <v>2</v>
      </c>
      <c r="F260" s="136" t="s">
        <v>932</v>
      </c>
      <c r="G260" s="209"/>
      <c r="H260" s="210"/>
      <c r="I260" s="210"/>
      <c r="J260" s="212"/>
      <c r="K260" s="212"/>
      <c r="L260" s="214"/>
      <c r="N260" s="134" t="s">
        <v>918</v>
      </c>
      <c r="O260" s="135">
        <f>IFERROR(IF(P260="prof",P255+N248,P255),"")</f>
        <v>5</v>
      </c>
      <c r="P260" s="137" t="s">
        <v>932</v>
      </c>
      <c r="Q260" s="134" t="s">
        <v>921</v>
      </c>
      <c r="R260" s="135">
        <f>IFERROR(IF(S260="prof",V255+N248,V255),"")</f>
        <v>2</v>
      </c>
      <c r="S260" s="136" t="s">
        <v>932</v>
      </c>
      <c r="T260" s="209"/>
      <c r="U260" s="210"/>
      <c r="V260" s="210"/>
      <c r="W260" s="212"/>
      <c r="X260" s="212"/>
      <c r="Y260" s="214"/>
      <c r="AA260" s="134" t="s">
        <v>918</v>
      </c>
      <c r="AB260" s="135">
        <f>IFERROR(IF(AC260="prof",AC255+AA248,AC255),"")</f>
        <v>1</v>
      </c>
      <c r="AC260" s="137" t="s">
        <v>925</v>
      </c>
      <c r="AD260" s="134" t="s">
        <v>921</v>
      </c>
      <c r="AE260" s="135">
        <f>IFERROR(IF(AF260="prof",AI255+AA248,AI255),"")</f>
        <v>2</v>
      </c>
      <c r="AF260" s="136" t="s">
        <v>925</v>
      </c>
      <c r="AG260" s="209"/>
      <c r="AH260" s="210"/>
      <c r="AI260" s="210"/>
      <c r="AJ260" s="212"/>
      <c r="AK260" s="212"/>
      <c r="AL260" s="214"/>
    </row>
    <row r="261" spans="1:38" ht="17.25" thickBot="1" x14ac:dyDescent="0.35">
      <c r="A261" s="134" t="s">
        <v>919</v>
      </c>
      <c r="B261" s="135">
        <f>IFERROR(IF(C261="prof",E255+A248,E255),"")</f>
        <v>2</v>
      </c>
      <c r="C261" s="137" t="s">
        <v>925</v>
      </c>
      <c r="D261" s="134" t="s">
        <v>927</v>
      </c>
      <c r="E261" s="135">
        <f>IFERROR(IF(F261="prof",K255+A248,K255),"")</f>
        <v>2</v>
      </c>
      <c r="F261" s="136" t="s">
        <v>925</v>
      </c>
      <c r="G261" s="199" t="s">
        <v>915</v>
      </c>
      <c r="H261" s="186"/>
      <c r="I261" s="138">
        <v>0</v>
      </c>
      <c r="J261" s="199" t="s">
        <v>915</v>
      </c>
      <c r="K261" s="186"/>
      <c r="L261" s="139">
        <v>0</v>
      </c>
      <c r="N261" s="134" t="s">
        <v>919</v>
      </c>
      <c r="O261" s="135">
        <f>IFERROR(IF(P261="prof",R255+N248,R255),"")</f>
        <v>1</v>
      </c>
      <c r="P261" s="137" t="s">
        <v>925</v>
      </c>
      <c r="Q261" s="134" t="s">
        <v>927</v>
      </c>
      <c r="R261" s="135">
        <f>IFERROR(IF(S261="prof",X255+N248,X255),"")</f>
        <v>2</v>
      </c>
      <c r="S261" s="136" t="s">
        <v>925</v>
      </c>
      <c r="T261" s="199" t="s">
        <v>915</v>
      </c>
      <c r="U261" s="186"/>
      <c r="V261" s="138">
        <v>0</v>
      </c>
      <c r="W261" s="199" t="s">
        <v>915</v>
      </c>
      <c r="X261" s="186"/>
      <c r="Y261" s="139">
        <v>0</v>
      </c>
      <c r="AA261" s="134" t="s">
        <v>919</v>
      </c>
      <c r="AB261" s="135">
        <f>IFERROR(IF(AC261="prof",AE255+AA248,AE255),"")</f>
        <v>5</v>
      </c>
      <c r="AC261" s="137" t="s">
        <v>932</v>
      </c>
      <c r="AD261" s="134" t="s">
        <v>927</v>
      </c>
      <c r="AE261" s="135">
        <f>IFERROR(IF(AF261="prof",AK255+AA248,AK255),"")</f>
        <v>1</v>
      </c>
      <c r="AF261" s="136" t="s">
        <v>925</v>
      </c>
      <c r="AG261" s="199" t="s">
        <v>983</v>
      </c>
      <c r="AH261" s="186"/>
      <c r="AI261" s="138">
        <v>60</v>
      </c>
      <c r="AJ261" s="199" t="s">
        <v>1071</v>
      </c>
      <c r="AK261" s="186"/>
      <c r="AL261" s="139">
        <v>30</v>
      </c>
    </row>
    <row r="262" spans="1:38" ht="15.75" thickBot="1" x14ac:dyDescent="0.3">
      <c r="A262" s="180" t="s">
        <v>928</v>
      </c>
      <c r="B262" s="181"/>
      <c r="C262" s="181"/>
      <c r="D262" s="181"/>
      <c r="E262" s="181"/>
      <c r="F262" s="182"/>
      <c r="G262" s="180" t="s">
        <v>929</v>
      </c>
      <c r="H262" s="181"/>
      <c r="I262" s="181"/>
      <c r="J262" s="181"/>
      <c r="K262" s="181"/>
      <c r="L262" s="182"/>
      <c r="N262" s="180" t="s">
        <v>928</v>
      </c>
      <c r="O262" s="181"/>
      <c r="P262" s="181"/>
      <c r="Q262" s="181"/>
      <c r="R262" s="181"/>
      <c r="S262" s="182"/>
      <c r="T262" s="180" t="s">
        <v>929</v>
      </c>
      <c r="U262" s="181"/>
      <c r="V262" s="181"/>
      <c r="W262" s="181"/>
      <c r="X262" s="181"/>
      <c r="Y262" s="182"/>
      <c r="AA262" s="180" t="s">
        <v>928</v>
      </c>
      <c r="AB262" s="181"/>
      <c r="AC262" s="181"/>
      <c r="AD262" s="181"/>
      <c r="AE262" s="181"/>
      <c r="AF262" s="182"/>
      <c r="AG262" s="180" t="s">
        <v>929</v>
      </c>
      <c r="AH262" s="181"/>
      <c r="AI262" s="181"/>
      <c r="AJ262" s="181"/>
      <c r="AK262" s="181"/>
      <c r="AL262" s="182"/>
    </row>
    <row r="263" spans="1:38" ht="16.5" x14ac:dyDescent="0.3">
      <c r="A263" s="199" t="s">
        <v>1006</v>
      </c>
      <c r="B263" s="186"/>
      <c r="C263" s="186"/>
      <c r="D263" s="140" t="s">
        <v>934</v>
      </c>
      <c r="E263" s="140">
        <f>IF(F263="expert",2,IF(F263="prof",1,0))*A248+VALUE(IF(D263="Str",A255,IF(D263="Dex",C255,IF(D263="Con",E255,IF(D263="Int",G255,IF(D263="Wis",I255,IF(D263="Cha",K255,"")))))))</f>
        <v>5</v>
      </c>
      <c r="F263" s="141" t="s">
        <v>932</v>
      </c>
      <c r="G263" s="205"/>
      <c r="H263" s="206"/>
      <c r="I263" s="142"/>
      <c r="J263" s="206"/>
      <c r="K263" s="206"/>
      <c r="L263" s="143"/>
      <c r="N263" s="199" t="s">
        <v>969</v>
      </c>
      <c r="O263" s="186"/>
      <c r="P263" s="186"/>
      <c r="Q263" s="140" t="s">
        <v>938</v>
      </c>
      <c r="R263" s="140">
        <f>IF(S263="expert",2,IF(S263="prof",1,0))*N248+VALUE(IF(Q263="Str",N255,IF(Q263="Dex",P255,IF(Q263="Con",R255,IF(Q263="Int",T255,IF(Q263="Wis",V255,IF(Q263="Cha",X255,"")))))))</f>
        <v>2</v>
      </c>
      <c r="S263" s="141" t="s">
        <v>932</v>
      </c>
      <c r="T263" s="205"/>
      <c r="U263" s="206"/>
      <c r="V263" s="142"/>
      <c r="W263" s="206"/>
      <c r="X263" s="206"/>
      <c r="Y263" s="143"/>
      <c r="AA263" s="199" t="s">
        <v>1006</v>
      </c>
      <c r="AB263" s="186"/>
      <c r="AC263" s="186"/>
      <c r="AD263" s="140" t="s">
        <v>931</v>
      </c>
      <c r="AE263" s="140">
        <f>IF(AF263="expert",2,IF(AF263="prof",1,0))*AA248+VALUE(IF(AD263="Str",AA255,IF(AD263="Dex",AC255,IF(AD263="Con",AE255,IF(AD263="Int",AG255,IF(AD263="Wis",AI255,IF(AD263="Cha",AK255,"")))))))</f>
        <v>6</v>
      </c>
      <c r="AF263" s="141" t="s">
        <v>932</v>
      </c>
      <c r="AG263" s="205" t="s">
        <v>1155</v>
      </c>
      <c r="AH263" s="206"/>
      <c r="AI263" s="142" t="s">
        <v>1017</v>
      </c>
      <c r="AJ263" s="206"/>
      <c r="AK263" s="206"/>
      <c r="AL263" s="143"/>
    </row>
    <row r="264" spans="1:38" ht="16.5" x14ac:dyDescent="0.3">
      <c r="A264" s="199" t="s">
        <v>968</v>
      </c>
      <c r="B264" s="186"/>
      <c r="C264" s="186"/>
      <c r="D264" s="140" t="s">
        <v>927</v>
      </c>
      <c r="E264" s="140">
        <f>IF(F264="expert",2,IF(F264="prof",1,0))*A248+VALUE(IF(D264="Str",A255,IF(D264="Dex",C255,IF(D264="Con",E255,IF(D264="Int",G255,IF(D264="Wis",I255,IF(D264="Cha",K255,"")))))))</f>
        <v>4</v>
      </c>
      <c r="F264" s="141" t="s">
        <v>932</v>
      </c>
      <c r="G264" s="199"/>
      <c r="H264" s="186"/>
      <c r="I264" s="137"/>
      <c r="J264" s="186"/>
      <c r="K264" s="186"/>
      <c r="L264" s="141"/>
      <c r="N264" s="199" t="s">
        <v>986</v>
      </c>
      <c r="O264" s="186"/>
      <c r="P264" s="186"/>
      <c r="Q264" s="140" t="s">
        <v>934</v>
      </c>
      <c r="R264" s="140">
        <f>IF(S264="expert",2,IF(S264="prof",1,0))*N248+VALUE(IF(Q264="Str",N255,IF(Q264="Dex",P255,IF(Q264="Con",R255,IF(Q264="Int",T255,IF(Q264="Wis",V255,IF(Q264="Cha",X255,"")))))))</f>
        <v>5</v>
      </c>
      <c r="S264" s="141" t="s">
        <v>932</v>
      </c>
      <c r="T264" s="199"/>
      <c r="U264" s="186"/>
      <c r="V264" s="137"/>
      <c r="W264" s="186"/>
      <c r="X264" s="186"/>
      <c r="Y264" s="141"/>
      <c r="AA264" s="199" t="s">
        <v>1125</v>
      </c>
      <c r="AB264" s="186"/>
      <c r="AC264" s="186"/>
      <c r="AD264" s="140" t="s">
        <v>931</v>
      </c>
      <c r="AE264" s="140">
        <f>IF(AF264="expert",2,IF(AF264="prof",1,0))*AA248+VALUE(IF(AD264="Str",AA255,IF(AD264="Dex",AC255,IF(AD264="Con",AE255,IF(AD264="Int",AG255,IF(AD264="Wis",AI255,IF(AD264="Cha",AK255,"")))))))</f>
        <v>6</v>
      </c>
      <c r="AF264" s="141" t="s">
        <v>932</v>
      </c>
      <c r="AG264" s="199"/>
      <c r="AH264" s="186"/>
      <c r="AI264" s="137"/>
      <c r="AJ264" s="186"/>
      <c r="AK264" s="186"/>
      <c r="AL264" s="141"/>
    </row>
    <row r="265" spans="1:38" ht="16.5" x14ac:dyDescent="0.3">
      <c r="A265" s="199" t="s">
        <v>969</v>
      </c>
      <c r="B265" s="186"/>
      <c r="C265" s="186"/>
      <c r="D265" s="140" t="s">
        <v>938</v>
      </c>
      <c r="E265" s="140">
        <f>IF(F265="expert",2,IF(F265="prof",1,0))*A248+VALUE(IF(D265="Str",A255,IF(D265="Dex",C255,IF(D265="Con",E255,IF(D265="Int",G255,IF(D265="Wis",I255,IF(D265="Cha",K255,"")))))))</f>
        <v>0</v>
      </c>
      <c r="F265" s="145" t="s">
        <v>915</v>
      </c>
      <c r="G265" s="199"/>
      <c r="H265" s="186"/>
      <c r="I265" s="137"/>
      <c r="J265" s="186"/>
      <c r="K265" s="186"/>
      <c r="L265" s="141"/>
      <c r="N265" s="199" t="s">
        <v>969</v>
      </c>
      <c r="O265" s="186"/>
      <c r="P265" s="186"/>
      <c r="Q265" s="140" t="s">
        <v>938</v>
      </c>
      <c r="R265" s="140">
        <f>IF(S265="expert",2,IF(S265="prof",1,0))*N248+VALUE(IF(Q265="Str",N255,IF(Q265="Dex",P255,IF(Q265="Con",R255,IF(Q265="Int",T255,IF(Q265="Wis",V255,IF(Q265="Cha",X255,"")))))))</f>
        <v>0</v>
      </c>
      <c r="S265" s="145" t="s">
        <v>915</v>
      </c>
      <c r="T265" s="199"/>
      <c r="U265" s="186"/>
      <c r="V265" s="137"/>
      <c r="W265" s="186"/>
      <c r="X265" s="186"/>
      <c r="Y265" s="141"/>
      <c r="AA265" s="199" t="s">
        <v>969</v>
      </c>
      <c r="AB265" s="186"/>
      <c r="AC265" s="186"/>
      <c r="AD265" s="140" t="s">
        <v>938</v>
      </c>
      <c r="AE265" s="140">
        <f>IF(AF265="expert",2,IF(AF265="prof",1,0))*AA248+VALUE(IF(AD265="Str",AA255,IF(AD265="Dex",AC255,IF(AD265="Con",AE255,IF(AD265="Int",AG255,IF(AD265="Wis",AI255,IF(AD265="Cha",AK255,"")))))))</f>
        <v>4</v>
      </c>
      <c r="AF265" s="141" t="s">
        <v>932</v>
      </c>
      <c r="AG265" s="199"/>
      <c r="AH265" s="186"/>
      <c r="AI265" s="137"/>
      <c r="AJ265" s="186"/>
      <c r="AK265" s="186"/>
      <c r="AL265" s="141"/>
    </row>
    <row r="266" spans="1:38" ht="16.5" x14ac:dyDescent="0.3">
      <c r="A266" s="199" t="s">
        <v>986</v>
      </c>
      <c r="B266" s="186"/>
      <c r="C266" s="186"/>
      <c r="D266" s="140" t="s">
        <v>934</v>
      </c>
      <c r="E266" s="140">
        <f>IF(F266="expert",2,IF(F266="prof",1,0))*A248+VALUE(IF(D266="Str",A255,IF(D266="Dex",C255,IF(D266="Con",E255,IF(D266="Int",G255,IF(D266="Wis",I255,IF(D266="Cha",K255,"")))))))</f>
        <v>3</v>
      </c>
      <c r="F266" s="145" t="s">
        <v>915</v>
      </c>
      <c r="G266" s="199"/>
      <c r="H266" s="186"/>
      <c r="I266" s="137"/>
      <c r="J266" s="186"/>
      <c r="K266" s="186"/>
      <c r="L266" s="141"/>
      <c r="N266" s="199" t="s">
        <v>986</v>
      </c>
      <c r="O266" s="186"/>
      <c r="P266" s="186"/>
      <c r="Q266" s="140" t="s">
        <v>934</v>
      </c>
      <c r="R266" s="140">
        <f>IF(S266="expert",2,IF(S266="prof",1,0))*N248+VALUE(IF(Q266="Str",N255,IF(Q266="Dex",P255,IF(Q266="Con",R255,IF(Q266="Int",T255,IF(Q266="Wis",V255,IF(Q266="Cha",X255,"")))))))</f>
        <v>3</v>
      </c>
      <c r="S266" s="145" t="s">
        <v>915</v>
      </c>
      <c r="T266" s="199"/>
      <c r="U266" s="186"/>
      <c r="V266" s="137"/>
      <c r="W266" s="186"/>
      <c r="X266" s="186"/>
      <c r="Y266" s="141"/>
      <c r="AA266" s="199" t="s">
        <v>986</v>
      </c>
      <c r="AB266" s="186"/>
      <c r="AC266" s="186"/>
      <c r="AD266" s="140" t="s">
        <v>934</v>
      </c>
      <c r="AE266" s="140">
        <f>IF(AF266="expert",2,IF(AF266="prof",1,0))*AA248+VALUE(IF(AD266="Str",AA255,IF(AD266="Dex",AC255,IF(AD266="Con",AE255,IF(AD266="Int",AG255,IF(AD266="Wis",AI255,IF(AD266="Cha",AK255,"")))))))</f>
        <v>1</v>
      </c>
      <c r="AF266" s="145" t="s">
        <v>915</v>
      </c>
      <c r="AG266" s="199"/>
      <c r="AH266" s="186"/>
      <c r="AI266" s="137"/>
      <c r="AJ266" s="186"/>
      <c r="AK266" s="186"/>
      <c r="AL266" s="141"/>
    </row>
    <row r="267" spans="1:38" ht="17.25" thickBot="1" x14ac:dyDescent="0.35">
      <c r="A267" s="197" t="s">
        <v>915</v>
      </c>
      <c r="B267" s="198"/>
      <c r="C267" s="198"/>
      <c r="D267" s="144" t="s">
        <v>938</v>
      </c>
      <c r="E267" s="144">
        <f>IF(F267="expert",2,IF(F267="prof",1,0))*A248+VALUE(IF(D267="Str",A255,IF(D267="Dex",C255,IF(D267="Con",E255,IF(D267="Int",G255,IF(D267="Wis",I255,IF(D267="Cha",K255,"")))))))</f>
        <v>0</v>
      </c>
      <c r="F267" s="145" t="s">
        <v>915</v>
      </c>
      <c r="G267" s="199"/>
      <c r="H267" s="186"/>
      <c r="I267" s="137"/>
      <c r="J267" s="186"/>
      <c r="K267" s="186"/>
      <c r="L267" s="141"/>
      <c r="N267" s="197" t="s">
        <v>915</v>
      </c>
      <c r="O267" s="198"/>
      <c r="P267" s="198"/>
      <c r="Q267" s="144" t="s">
        <v>938</v>
      </c>
      <c r="R267" s="144">
        <f>IF(S267="expert",2,IF(S267="prof",1,0))*N248+VALUE(IF(Q267="Str",N255,IF(Q267="Dex",P255,IF(Q267="Con",R255,IF(Q267="Int",T255,IF(Q267="Wis",V255,IF(Q267="Cha",X255,"")))))))</f>
        <v>0</v>
      </c>
      <c r="S267" s="145" t="s">
        <v>915</v>
      </c>
      <c r="T267" s="199"/>
      <c r="U267" s="186"/>
      <c r="V267" s="137"/>
      <c r="W267" s="186"/>
      <c r="X267" s="186"/>
      <c r="Y267" s="141"/>
      <c r="AA267" s="197" t="s">
        <v>915</v>
      </c>
      <c r="AB267" s="198"/>
      <c r="AC267" s="198"/>
      <c r="AD267" s="144" t="s">
        <v>938</v>
      </c>
      <c r="AE267" s="144">
        <f>IF(AF267="expert",2,IF(AF267="prof",1,0))*AA248+VALUE(IF(AD267="Str",AA255,IF(AD267="Dex",AC255,IF(AD267="Con",AE255,IF(AD267="Int",AG255,IF(AD267="Wis",AI255,IF(AD267="Cha",AK255,"")))))))</f>
        <v>2</v>
      </c>
      <c r="AF267" s="145" t="s">
        <v>915</v>
      </c>
      <c r="AG267" s="199"/>
      <c r="AH267" s="186"/>
      <c r="AI267" s="137"/>
      <c r="AJ267" s="186"/>
      <c r="AK267" s="186"/>
      <c r="AL267" s="141"/>
    </row>
    <row r="268" spans="1:38" ht="17.25" thickBot="1" x14ac:dyDescent="0.35">
      <c r="A268" s="200" t="s">
        <v>939</v>
      </c>
      <c r="B268" s="201"/>
      <c r="C268" s="201"/>
      <c r="D268" s="202"/>
      <c r="E268" s="203" t="s">
        <v>940</v>
      </c>
      <c r="F268" s="204"/>
      <c r="G268" s="185"/>
      <c r="H268" s="186"/>
      <c r="I268" s="137"/>
      <c r="J268" s="186"/>
      <c r="K268" s="186"/>
      <c r="L268" s="141"/>
      <c r="N268" s="200" t="s">
        <v>939</v>
      </c>
      <c r="O268" s="201"/>
      <c r="P268" s="201"/>
      <c r="Q268" s="202"/>
      <c r="R268" s="203" t="s">
        <v>940</v>
      </c>
      <c r="S268" s="204"/>
      <c r="T268" s="185"/>
      <c r="U268" s="186"/>
      <c r="V268" s="137"/>
      <c r="W268" s="186"/>
      <c r="X268" s="186"/>
      <c r="Y268" s="141"/>
      <c r="AA268" s="200" t="s">
        <v>939</v>
      </c>
      <c r="AB268" s="201"/>
      <c r="AC268" s="201"/>
      <c r="AD268" s="202"/>
      <c r="AE268" s="203" t="s">
        <v>940</v>
      </c>
      <c r="AF268" s="204"/>
      <c r="AG268" s="185"/>
      <c r="AH268" s="186"/>
      <c r="AI268" s="137"/>
      <c r="AJ268" s="186"/>
      <c r="AK268" s="186"/>
      <c r="AL268" s="141"/>
    </row>
    <row r="269" spans="1:38" ht="16.5" x14ac:dyDescent="0.3">
      <c r="A269" s="190" t="s">
        <v>1117</v>
      </c>
      <c r="B269" s="191"/>
      <c r="C269" s="191"/>
      <c r="D269" s="191"/>
      <c r="E269" s="186"/>
      <c r="F269" s="192"/>
      <c r="G269" s="185"/>
      <c r="H269" s="186"/>
      <c r="I269" s="137"/>
      <c r="J269" s="186"/>
      <c r="K269" s="186"/>
      <c r="L269" s="141"/>
      <c r="N269" s="190" t="s">
        <v>1117</v>
      </c>
      <c r="O269" s="191"/>
      <c r="P269" s="191"/>
      <c r="Q269" s="191"/>
      <c r="R269" s="186"/>
      <c r="S269" s="192"/>
      <c r="T269" s="185"/>
      <c r="U269" s="186"/>
      <c r="V269" s="137"/>
      <c r="W269" s="186"/>
      <c r="X269" s="186"/>
      <c r="Y269" s="141"/>
      <c r="AA269" s="190" t="s">
        <v>988</v>
      </c>
      <c r="AB269" s="191"/>
      <c r="AC269" s="191"/>
      <c r="AD269" s="191"/>
      <c r="AE269" s="186"/>
      <c r="AF269" s="192"/>
      <c r="AG269" s="185"/>
      <c r="AH269" s="186"/>
      <c r="AI269" s="137"/>
      <c r="AJ269" s="186"/>
      <c r="AK269" s="186"/>
      <c r="AL269" s="141"/>
    </row>
    <row r="270" spans="1:38" ht="17.25" thickBot="1" x14ac:dyDescent="0.35">
      <c r="A270" s="193"/>
      <c r="B270" s="194"/>
      <c r="C270" s="194"/>
      <c r="D270" s="194"/>
      <c r="E270" s="194"/>
      <c r="F270" s="195"/>
      <c r="G270" s="196"/>
      <c r="H270" s="194"/>
      <c r="I270" s="146"/>
      <c r="J270" s="194"/>
      <c r="K270" s="194"/>
      <c r="L270" s="147"/>
      <c r="N270" s="193"/>
      <c r="O270" s="194"/>
      <c r="P270" s="194"/>
      <c r="Q270" s="194"/>
      <c r="R270" s="194"/>
      <c r="S270" s="195"/>
      <c r="T270" s="196"/>
      <c r="U270" s="194"/>
      <c r="V270" s="146"/>
      <c r="W270" s="194"/>
      <c r="X270" s="194"/>
      <c r="Y270" s="147"/>
      <c r="AA270" s="193"/>
      <c r="AB270" s="194"/>
      <c r="AC270" s="194"/>
      <c r="AD270" s="194"/>
      <c r="AE270" s="194"/>
      <c r="AF270" s="195"/>
      <c r="AG270" s="196"/>
      <c r="AH270" s="194"/>
      <c r="AI270" s="146"/>
      <c r="AJ270" s="194"/>
      <c r="AK270" s="194"/>
      <c r="AL270" s="147"/>
    </row>
    <row r="271" spans="1:38" ht="15.75" thickBot="1" x14ac:dyDescent="0.3">
      <c r="A271" s="177" t="s">
        <v>941</v>
      </c>
      <c r="B271" s="178"/>
      <c r="C271" s="178"/>
      <c r="D271" s="178"/>
      <c r="E271" s="178"/>
      <c r="F271" s="179"/>
      <c r="G271" s="180" t="s">
        <v>942</v>
      </c>
      <c r="H271" s="181"/>
      <c r="I271" s="181"/>
      <c r="J271" s="181"/>
      <c r="K271" s="181"/>
      <c r="L271" s="182"/>
      <c r="N271" s="177" t="s">
        <v>941</v>
      </c>
      <c r="O271" s="178"/>
      <c r="P271" s="178"/>
      <c r="Q271" s="178"/>
      <c r="R271" s="178"/>
      <c r="S271" s="179"/>
      <c r="T271" s="180" t="s">
        <v>942</v>
      </c>
      <c r="U271" s="181"/>
      <c r="V271" s="181"/>
      <c r="W271" s="181"/>
      <c r="X271" s="181"/>
      <c r="Y271" s="182"/>
      <c r="AA271" s="177" t="s">
        <v>941</v>
      </c>
      <c r="AB271" s="178"/>
      <c r="AC271" s="178"/>
      <c r="AD271" s="178"/>
      <c r="AE271" s="178"/>
      <c r="AF271" s="179"/>
      <c r="AG271" s="180" t="s">
        <v>942</v>
      </c>
      <c r="AH271" s="181"/>
      <c r="AI271" s="181"/>
      <c r="AJ271" s="181"/>
      <c r="AK271" s="181"/>
      <c r="AL271" s="182"/>
    </row>
    <row r="272" spans="1:38" x14ac:dyDescent="0.25">
      <c r="A272" s="183" t="s">
        <v>943</v>
      </c>
      <c r="B272" s="183"/>
      <c r="C272" s="148" t="s">
        <v>944</v>
      </c>
      <c r="D272" s="149" t="s">
        <v>945</v>
      </c>
      <c r="E272" s="149" t="s">
        <v>946</v>
      </c>
      <c r="F272" s="150" t="s">
        <v>947</v>
      </c>
      <c r="G272" s="168"/>
      <c r="H272" s="169"/>
      <c r="I272" s="169"/>
      <c r="J272" s="169"/>
      <c r="K272" s="169"/>
      <c r="L272" s="170"/>
      <c r="N272" s="183" t="s">
        <v>943</v>
      </c>
      <c r="O272" s="183"/>
      <c r="P272" s="148" t="s">
        <v>944</v>
      </c>
      <c r="Q272" s="149" t="s">
        <v>945</v>
      </c>
      <c r="R272" s="149" t="s">
        <v>946</v>
      </c>
      <c r="S272" s="150" t="s">
        <v>947</v>
      </c>
      <c r="T272" s="168"/>
      <c r="U272" s="169"/>
      <c r="V272" s="169"/>
      <c r="W272" s="169"/>
      <c r="X272" s="169"/>
      <c r="Y272" s="170"/>
      <c r="AA272" s="183" t="s">
        <v>943</v>
      </c>
      <c r="AB272" s="183"/>
      <c r="AC272" s="148" t="s">
        <v>944</v>
      </c>
      <c r="AD272" s="149" t="s">
        <v>945</v>
      </c>
      <c r="AE272" s="149" t="s">
        <v>946</v>
      </c>
      <c r="AF272" s="150" t="s">
        <v>947</v>
      </c>
      <c r="AG272" s="168" t="s">
        <v>1118</v>
      </c>
      <c r="AH272" s="169"/>
      <c r="AI272" s="169"/>
      <c r="AJ272" s="169"/>
      <c r="AK272" s="169"/>
      <c r="AL272" s="170"/>
    </row>
    <row r="273" spans="1:38" x14ac:dyDescent="0.25">
      <c r="A273" s="184" t="s">
        <v>952</v>
      </c>
      <c r="B273" s="185"/>
      <c r="C273" s="140">
        <v>2</v>
      </c>
      <c r="D273" s="1" t="s">
        <v>950</v>
      </c>
      <c r="E273" s="151">
        <v>5</v>
      </c>
      <c r="F273" s="65" t="s">
        <v>993</v>
      </c>
      <c r="G273" s="171"/>
      <c r="H273" s="172"/>
      <c r="I273" s="172"/>
      <c r="J273" s="172"/>
      <c r="K273" s="172"/>
      <c r="L273" s="173"/>
      <c r="N273" s="184" t="s">
        <v>992</v>
      </c>
      <c r="O273" s="185"/>
      <c r="P273" s="140">
        <v>2</v>
      </c>
      <c r="Q273" s="1" t="s">
        <v>950</v>
      </c>
      <c r="R273" s="151">
        <v>5</v>
      </c>
      <c r="S273" s="65" t="s">
        <v>993</v>
      </c>
      <c r="T273" s="171"/>
      <c r="U273" s="172"/>
      <c r="V273" s="172"/>
      <c r="W273" s="172"/>
      <c r="X273" s="172"/>
      <c r="Y273" s="173"/>
      <c r="AA273" s="184" t="s">
        <v>971</v>
      </c>
      <c r="AB273" s="185"/>
      <c r="AC273" s="140">
        <v>2</v>
      </c>
      <c r="AD273" s="1" t="s">
        <v>950</v>
      </c>
      <c r="AE273" s="151">
        <v>6</v>
      </c>
      <c r="AF273" s="65" t="s">
        <v>1020</v>
      </c>
      <c r="AG273" s="171"/>
      <c r="AH273" s="172"/>
      <c r="AI273" s="172"/>
      <c r="AJ273" s="172"/>
      <c r="AK273" s="172"/>
      <c r="AL273" s="173"/>
    </row>
    <row r="274" spans="1:38" x14ac:dyDescent="0.25">
      <c r="A274" s="186" t="s">
        <v>990</v>
      </c>
      <c r="B274" s="186"/>
      <c r="C274" s="140">
        <v>1</v>
      </c>
      <c r="D274" s="1" t="s">
        <v>950</v>
      </c>
      <c r="E274" s="151">
        <v>5</v>
      </c>
      <c r="F274" s="65" t="s">
        <v>1137</v>
      </c>
      <c r="G274" s="171"/>
      <c r="H274" s="172"/>
      <c r="I274" s="172"/>
      <c r="J274" s="172"/>
      <c r="K274" s="172"/>
      <c r="L274" s="173"/>
      <c r="N274" s="186" t="s">
        <v>1143</v>
      </c>
      <c r="O274" s="186"/>
      <c r="P274" s="140">
        <v>1</v>
      </c>
      <c r="Q274" s="1" t="s">
        <v>950</v>
      </c>
      <c r="R274" s="151">
        <v>4</v>
      </c>
      <c r="S274" s="65" t="s">
        <v>1141</v>
      </c>
      <c r="T274" s="171"/>
      <c r="U274" s="172"/>
      <c r="V274" s="172"/>
      <c r="W274" s="172"/>
      <c r="X274" s="172"/>
      <c r="Y274" s="173"/>
      <c r="AA274" s="186" t="s">
        <v>970</v>
      </c>
      <c r="AB274" s="186"/>
      <c r="AC274" s="140">
        <v>6</v>
      </c>
      <c r="AD274" s="1" t="s">
        <v>973</v>
      </c>
      <c r="AE274" s="151">
        <v>6</v>
      </c>
      <c r="AF274" s="65" t="s">
        <v>1120</v>
      </c>
      <c r="AG274" s="171"/>
      <c r="AH274" s="172"/>
      <c r="AI274" s="172"/>
      <c r="AJ274" s="172"/>
      <c r="AK274" s="172"/>
      <c r="AL274" s="173"/>
    </row>
    <row r="275" spans="1:38" x14ac:dyDescent="0.25">
      <c r="A275" s="186" t="s">
        <v>990</v>
      </c>
      <c r="B275" s="186"/>
      <c r="C275" s="140">
        <v>2</v>
      </c>
      <c r="D275" s="1" t="s">
        <v>973</v>
      </c>
      <c r="E275" s="151">
        <v>5</v>
      </c>
      <c r="F275" s="65" t="s">
        <v>1137</v>
      </c>
      <c r="G275" s="171"/>
      <c r="H275" s="172"/>
      <c r="I275" s="172"/>
      <c r="J275" s="172"/>
      <c r="K275" s="172"/>
      <c r="L275" s="173"/>
      <c r="N275" s="186"/>
      <c r="O275" s="186"/>
      <c r="P275" s="140"/>
      <c r="Q275" s="1" t="s">
        <v>973</v>
      </c>
      <c r="R275" s="151"/>
      <c r="S275" s="65"/>
      <c r="T275" s="171"/>
      <c r="U275" s="172"/>
      <c r="V275" s="172"/>
      <c r="W275" s="172"/>
      <c r="X275" s="172"/>
      <c r="Y275" s="173"/>
      <c r="AA275" s="186"/>
      <c r="AB275" s="186"/>
      <c r="AC275" s="140"/>
      <c r="AD275" s="1" t="s">
        <v>973</v>
      </c>
      <c r="AE275" s="151"/>
      <c r="AF275" s="65"/>
      <c r="AG275" s="171"/>
      <c r="AH275" s="172"/>
      <c r="AI275" s="172"/>
      <c r="AJ275" s="172"/>
      <c r="AK275" s="172"/>
      <c r="AL275" s="173"/>
    </row>
    <row r="276" spans="1:38" ht="16.5" x14ac:dyDescent="0.3">
      <c r="A276" s="187" t="s">
        <v>959</v>
      </c>
      <c r="B276" s="187"/>
      <c r="C276" s="187"/>
      <c r="D276" s="188" t="s">
        <v>915</v>
      </c>
      <c r="E276" s="189"/>
      <c r="F276" s="189"/>
      <c r="G276" s="171"/>
      <c r="H276" s="172"/>
      <c r="I276" s="172"/>
      <c r="J276" s="172"/>
      <c r="K276" s="172"/>
      <c r="L276" s="173"/>
      <c r="N276" s="187" t="s">
        <v>959</v>
      </c>
      <c r="O276" s="187"/>
      <c r="P276" s="187"/>
      <c r="Q276" s="188" t="s">
        <v>915</v>
      </c>
      <c r="R276" s="189"/>
      <c r="S276" s="189"/>
      <c r="T276" s="171"/>
      <c r="U276" s="172"/>
      <c r="V276" s="172"/>
      <c r="W276" s="172"/>
      <c r="X276" s="172"/>
      <c r="Y276" s="173"/>
      <c r="AA276" s="187" t="s">
        <v>959</v>
      </c>
      <c r="AB276" s="187"/>
      <c r="AC276" s="187"/>
      <c r="AD276" s="188" t="s">
        <v>915</v>
      </c>
      <c r="AE276" s="189"/>
      <c r="AF276" s="189"/>
      <c r="AG276" s="171"/>
      <c r="AH276" s="172"/>
      <c r="AI276" s="172"/>
      <c r="AJ276" s="172"/>
      <c r="AK276" s="172"/>
      <c r="AL276" s="173"/>
    </row>
    <row r="277" spans="1:38" ht="15.75" thickBot="1" x14ac:dyDescent="0.3">
      <c r="A277" s="167" t="s">
        <v>960</v>
      </c>
      <c r="B277" s="167"/>
      <c r="C277" s="144">
        <f>A248+IF(D276="Int",G255,IF(D276="Wis",I255,IF(D276="Cha",K255,0)))</f>
        <v>2</v>
      </c>
      <c r="D277" s="167" t="s">
        <v>961</v>
      </c>
      <c r="E277" s="167"/>
      <c r="F277" s="152">
        <f>8+A248+IF(D276="Int",G255,IF(D276="Wis",I255,IF(D276="Cha",K255,0)))</f>
        <v>10</v>
      </c>
      <c r="G277" s="171"/>
      <c r="H277" s="172"/>
      <c r="I277" s="172"/>
      <c r="J277" s="172"/>
      <c r="K277" s="172"/>
      <c r="L277" s="173"/>
      <c r="N277" s="167" t="s">
        <v>960</v>
      </c>
      <c r="O277" s="167"/>
      <c r="P277" s="144">
        <f>N248+IF(Q276="Int",T255,IF(Q276="Wis",V255,IF(Q276="Cha",X255,0)))</f>
        <v>2</v>
      </c>
      <c r="Q277" s="167" t="s">
        <v>961</v>
      </c>
      <c r="R277" s="167"/>
      <c r="S277" s="152">
        <f>8+N248+IF(Q276="Int",T255,IF(Q276="Wis",V255,IF(Q276="Cha",X255,0)))</f>
        <v>10</v>
      </c>
      <c r="T277" s="171"/>
      <c r="U277" s="172"/>
      <c r="V277" s="172"/>
      <c r="W277" s="172"/>
      <c r="X277" s="172"/>
      <c r="Y277" s="173"/>
      <c r="AA277" s="167" t="s">
        <v>960</v>
      </c>
      <c r="AB277" s="167"/>
      <c r="AC277" s="144">
        <f>AA248+IF(AD276="Int",AG255,IF(AD276="Wis",AI255,IF(AD276="Cha",AK255,0)))</f>
        <v>2</v>
      </c>
      <c r="AD277" s="167" t="s">
        <v>961</v>
      </c>
      <c r="AE277" s="167"/>
      <c r="AF277" s="152">
        <f>8+AA248+IF(AD276="Int",AG255,IF(AD276="Wis",AI255,IF(AD276="Cha",AK255,0)))</f>
        <v>10</v>
      </c>
      <c r="AG277" s="171"/>
      <c r="AH277" s="172"/>
      <c r="AI277" s="172"/>
      <c r="AJ277" s="172"/>
      <c r="AK277" s="172"/>
      <c r="AL277" s="173"/>
    </row>
    <row r="278" spans="1:38" x14ac:dyDescent="0.25">
      <c r="A278" s="168" t="s">
        <v>1138</v>
      </c>
      <c r="B278" s="169"/>
      <c r="C278" s="169"/>
      <c r="D278" s="169"/>
      <c r="E278" s="169"/>
      <c r="F278" s="170"/>
      <c r="G278" s="171"/>
      <c r="H278" s="172"/>
      <c r="I278" s="172"/>
      <c r="J278" s="172"/>
      <c r="K278" s="172"/>
      <c r="L278" s="173"/>
      <c r="N278" s="168" t="s">
        <v>1144</v>
      </c>
      <c r="O278" s="169"/>
      <c r="P278" s="169"/>
      <c r="Q278" s="169"/>
      <c r="R278" s="169"/>
      <c r="S278" s="170"/>
      <c r="T278" s="171"/>
      <c r="U278" s="172"/>
      <c r="V278" s="172"/>
      <c r="W278" s="172"/>
      <c r="X278" s="172"/>
      <c r="Y278" s="173"/>
      <c r="AA278" s="168" t="s">
        <v>1147</v>
      </c>
      <c r="AB278" s="169"/>
      <c r="AC278" s="169"/>
      <c r="AD278" s="169"/>
      <c r="AE278" s="169"/>
      <c r="AF278" s="170"/>
      <c r="AG278" s="171"/>
      <c r="AH278" s="172"/>
      <c r="AI278" s="172"/>
      <c r="AJ278" s="172"/>
      <c r="AK278" s="172"/>
      <c r="AL278" s="173"/>
    </row>
    <row r="279" spans="1:38" x14ac:dyDescent="0.25">
      <c r="A279" s="171"/>
      <c r="B279" s="172"/>
      <c r="C279" s="172"/>
      <c r="D279" s="172"/>
      <c r="E279" s="172"/>
      <c r="F279" s="173"/>
      <c r="G279" s="171"/>
      <c r="H279" s="172"/>
      <c r="I279" s="172"/>
      <c r="J279" s="172"/>
      <c r="K279" s="172"/>
      <c r="L279" s="173"/>
      <c r="N279" s="171"/>
      <c r="O279" s="172"/>
      <c r="P279" s="172"/>
      <c r="Q279" s="172"/>
      <c r="R279" s="172"/>
      <c r="S279" s="173"/>
      <c r="T279" s="171"/>
      <c r="U279" s="172"/>
      <c r="V279" s="172"/>
      <c r="W279" s="172"/>
      <c r="X279" s="172"/>
      <c r="Y279" s="173"/>
      <c r="AA279" s="171"/>
      <c r="AB279" s="172"/>
      <c r="AC279" s="172"/>
      <c r="AD279" s="172"/>
      <c r="AE279" s="172"/>
      <c r="AF279" s="173"/>
      <c r="AG279" s="171"/>
      <c r="AH279" s="172"/>
      <c r="AI279" s="172"/>
      <c r="AJ279" s="172"/>
      <c r="AK279" s="172"/>
      <c r="AL279" s="173"/>
    </row>
    <row r="280" spans="1:38" x14ac:dyDescent="0.25">
      <c r="A280" s="171"/>
      <c r="B280" s="172"/>
      <c r="C280" s="172"/>
      <c r="D280" s="172"/>
      <c r="E280" s="172"/>
      <c r="F280" s="173"/>
      <c r="G280" s="171"/>
      <c r="H280" s="172"/>
      <c r="I280" s="172"/>
      <c r="J280" s="172"/>
      <c r="K280" s="172"/>
      <c r="L280" s="173"/>
      <c r="N280" s="171"/>
      <c r="O280" s="172"/>
      <c r="P280" s="172"/>
      <c r="Q280" s="172"/>
      <c r="R280" s="172"/>
      <c r="S280" s="173"/>
      <c r="T280" s="171"/>
      <c r="U280" s="172"/>
      <c r="V280" s="172"/>
      <c r="W280" s="172"/>
      <c r="X280" s="172"/>
      <c r="Y280" s="173"/>
      <c r="AA280" s="171"/>
      <c r="AB280" s="172"/>
      <c r="AC280" s="172"/>
      <c r="AD280" s="172"/>
      <c r="AE280" s="172"/>
      <c r="AF280" s="173"/>
      <c r="AG280" s="171"/>
      <c r="AH280" s="172"/>
      <c r="AI280" s="172"/>
      <c r="AJ280" s="172"/>
      <c r="AK280" s="172"/>
      <c r="AL280" s="173"/>
    </row>
    <row r="281" spans="1:38" x14ac:dyDescent="0.25">
      <c r="A281" s="171"/>
      <c r="B281" s="172"/>
      <c r="C281" s="172"/>
      <c r="D281" s="172"/>
      <c r="E281" s="172"/>
      <c r="F281" s="173"/>
      <c r="G281" s="171"/>
      <c r="H281" s="172"/>
      <c r="I281" s="172"/>
      <c r="J281" s="172"/>
      <c r="K281" s="172"/>
      <c r="L281" s="173"/>
      <c r="N281" s="171"/>
      <c r="O281" s="172"/>
      <c r="P281" s="172"/>
      <c r="Q281" s="172"/>
      <c r="R281" s="172"/>
      <c r="S281" s="173"/>
      <c r="T281" s="171"/>
      <c r="U281" s="172"/>
      <c r="V281" s="172"/>
      <c r="W281" s="172"/>
      <c r="X281" s="172"/>
      <c r="Y281" s="173"/>
      <c r="AA281" s="171"/>
      <c r="AB281" s="172"/>
      <c r="AC281" s="172"/>
      <c r="AD281" s="172"/>
      <c r="AE281" s="172"/>
      <c r="AF281" s="173"/>
      <c r="AG281" s="171"/>
      <c r="AH281" s="172"/>
      <c r="AI281" s="172"/>
      <c r="AJ281" s="172"/>
      <c r="AK281" s="172"/>
      <c r="AL281" s="173"/>
    </row>
    <row r="282" spans="1:38" x14ac:dyDescent="0.25">
      <c r="A282" s="171"/>
      <c r="B282" s="172"/>
      <c r="C282" s="172"/>
      <c r="D282" s="172"/>
      <c r="E282" s="172"/>
      <c r="F282" s="173"/>
      <c r="G282" s="171"/>
      <c r="H282" s="172"/>
      <c r="I282" s="172"/>
      <c r="J282" s="172"/>
      <c r="K282" s="172"/>
      <c r="L282" s="173"/>
      <c r="N282" s="171"/>
      <c r="O282" s="172"/>
      <c r="P282" s="172"/>
      <c r="Q282" s="172"/>
      <c r="R282" s="172"/>
      <c r="S282" s="173"/>
      <c r="T282" s="171"/>
      <c r="U282" s="172"/>
      <c r="V282" s="172"/>
      <c r="W282" s="172"/>
      <c r="X282" s="172"/>
      <c r="Y282" s="173"/>
      <c r="AA282" s="171"/>
      <c r="AB282" s="172"/>
      <c r="AC282" s="172"/>
      <c r="AD282" s="172"/>
      <c r="AE282" s="172"/>
      <c r="AF282" s="173"/>
      <c r="AG282" s="171"/>
      <c r="AH282" s="172"/>
      <c r="AI282" s="172"/>
      <c r="AJ282" s="172"/>
      <c r="AK282" s="172"/>
      <c r="AL282" s="173"/>
    </row>
    <row r="283" spans="1:38" x14ac:dyDescent="0.25">
      <c r="A283" s="171"/>
      <c r="B283" s="172"/>
      <c r="C283" s="172"/>
      <c r="D283" s="172"/>
      <c r="E283" s="172"/>
      <c r="F283" s="173"/>
      <c r="G283" s="171"/>
      <c r="H283" s="172"/>
      <c r="I283" s="172"/>
      <c r="J283" s="172"/>
      <c r="K283" s="172"/>
      <c r="L283" s="173"/>
      <c r="N283" s="171"/>
      <c r="O283" s="172"/>
      <c r="P283" s="172"/>
      <c r="Q283" s="172"/>
      <c r="R283" s="172"/>
      <c r="S283" s="173"/>
      <c r="T283" s="171"/>
      <c r="U283" s="172"/>
      <c r="V283" s="172"/>
      <c r="W283" s="172"/>
      <c r="X283" s="172"/>
      <c r="Y283" s="173"/>
      <c r="AA283" s="171"/>
      <c r="AB283" s="172"/>
      <c r="AC283" s="172"/>
      <c r="AD283" s="172"/>
      <c r="AE283" s="172"/>
      <c r="AF283" s="173"/>
      <c r="AG283" s="171"/>
      <c r="AH283" s="172"/>
      <c r="AI283" s="172"/>
      <c r="AJ283" s="172"/>
      <c r="AK283" s="172"/>
      <c r="AL283" s="173"/>
    </row>
    <row r="284" spans="1:38" x14ac:dyDescent="0.25">
      <c r="A284" s="171"/>
      <c r="B284" s="172"/>
      <c r="C284" s="172"/>
      <c r="D284" s="172"/>
      <c r="E284" s="172"/>
      <c r="F284" s="173"/>
      <c r="G284" s="171"/>
      <c r="H284" s="172"/>
      <c r="I284" s="172"/>
      <c r="J284" s="172"/>
      <c r="K284" s="172"/>
      <c r="L284" s="173"/>
      <c r="N284" s="171"/>
      <c r="O284" s="172"/>
      <c r="P284" s="172"/>
      <c r="Q284" s="172"/>
      <c r="R284" s="172"/>
      <c r="S284" s="173"/>
      <c r="T284" s="171"/>
      <c r="U284" s="172"/>
      <c r="V284" s="172"/>
      <c r="W284" s="172"/>
      <c r="X284" s="172"/>
      <c r="Y284" s="173"/>
      <c r="AA284" s="171"/>
      <c r="AB284" s="172"/>
      <c r="AC284" s="172"/>
      <c r="AD284" s="172"/>
      <c r="AE284" s="172"/>
      <c r="AF284" s="173"/>
      <c r="AG284" s="171"/>
      <c r="AH284" s="172"/>
      <c r="AI284" s="172"/>
      <c r="AJ284" s="172"/>
      <c r="AK284" s="172"/>
      <c r="AL284" s="173"/>
    </row>
    <row r="285" spans="1:38" x14ac:dyDescent="0.25">
      <c r="A285" s="171"/>
      <c r="B285" s="172"/>
      <c r="C285" s="172"/>
      <c r="D285" s="172"/>
      <c r="E285" s="172"/>
      <c r="F285" s="173"/>
      <c r="G285" s="171"/>
      <c r="H285" s="172"/>
      <c r="I285" s="172"/>
      <c r="J285" s="172"/>
      <c r="K285" s="172"/>
      <c r="L285" s="173"/>
      <c r="N285" s="171"/>
      <c r="O285" s="172"/>
      <c r="P285" s="172"/>
      <c r="Q285" s="172"/>
      <c r="R285" s="172"/>
      <c r="S285" s="173"/>
      <c r="T285" s="171"/>
      <c r="U285" s="172"/>
      <c r="V285" s="172"/>
      <c r="W285" s="172"/>
      <c r="X285" s="172"/>
      <c r="Y285" s="173"/>
      <c r="AA285" s="171"/>
      <c r="AB285" s="172"/>
      <c r="AC285" s="172"/>
      <c r="AD285" s="172"/>
      <c r="AE285" s="172"/>
      <c r="AF285" s="173"/>
      <c r="AG285" s="171"/>
      <c r="AH285" s="172"/>
      <c r="AI285" s="172"/>
      <c r="AJ285" s="172"/>
      <c r="AK285" s="172"/>
      <c r="AL285" s="173"/>
    </row>
    <row r="286" spans="1:38" ht="15.75" thickBot="1" x14ac:dyDescent="0.3">
      <c r="A286" s="174"/>
      <c r="B286" s="175"/>
      <c r="C286" s="175"/>
      <c r="D286" s="175"/>
      <c r="E286" s="175"/>
      <c r="F286" s="176"/>
      <c r="G286" s="174"/>
      <c r="H286" s="175"/>
      <c r="I286" s="175"/>
      <c r="J286" s="175"/>
      <c r="K286" s="175"/>
      <c r="L286" s="176"/>
      <c r="N286" s="174"/>
      <c r="O286" s="175"/>
      <c r="P286" s="175"/>
      <c r="Q286" s="175"/>
      <c r="R286" s="175"/>
      <c r="S286" s="176"/>
      <c r="T286" s="174"/>
      <c r="U286" s="175"/>
      <c r="V286" s="175"/>
      <c r="W286" s="175"/>
      <c r="X286" s="175"/>
      <c r="Y286" s="176"/>
      <c r="AA286" s="174"/>
      <c r="AB286" s="175"/>
      <c r="AC286" s="175"/>
      <c r="AD286" s="175"/>
      <c r="AE286" s="175"/>
      <c r="AF286" s="176"/>
      <c r="AG286" s="174"/>
      <c r="AH286" s="175"/>
      <c r="AI286" s="175"/>
      <c r="AJ286" s="175"/>
      <c r="AK286" s="175"/>
      <c r="AL286" s="176"/>
    </row>
    <row r="288" spans="1:38" ht="17.25" x14ac:dyDescent="0.25">
      <c r="A288" s="127">
        <v>22</v>
      </c>
      <c r="B288" s="236" t="s">
        <v>527</v>
      </c>
      <c r="C288" s="236"/>
      <c r="D288" s="236"/>
      <c r="E288" s="236"/>
      <c r="F288" s="236"/>
      <c r="G288" s="236"/>
      <c r="H288" s="236"/>
      <c r="I288" s="236"/>
      <c r="J288" s="236"/>
      <c r="K288" s="236"/>
      <c r="L288" s="236"/>
      <c r="N288" s="127">
        <v>23</v>
      </c>
      <c r="O288" s="236" t="s">
        <v>1153</v>
      </c>
      <c r="P288" s="236"/>
      <c r="Q288" s="236"/>
      <c r="R288" s="236"/>
      <c r="S288" s="236"/>
      <c r="T288" s="236"/>
      <c r="U288" s="236"/>
      <c r="V288" s="236"/>
      <c r="W288" s="236"/>
      <c r="X288" s="236"/>
      <c r="Y288" s="236"/>
      <c r="AA288" s="127">
        <v>24</v>
      </c>
      <c r="AB288" s="236" t="s">
        <v>319</v>
      </c>
      <c r="AC288" s="236"/>
      <c r="AD288" s="236"/>
      <c r="AE288" s="236"/>
      <c r="AF288" s="236"/>
      <c r="AG288" s="236"/>
      <c r="AH288" s="236"/>
      <c r="AI288" s="236"/>
      <c r="AJ288" s="236"/>
      <c r="AK288" s="236"/>
      <c r="AL288" s="236"/>
    </row>
    <row r="289" spans="1:38" ht="21" x14ac:dyDescent="0.25">
      <c r="A289" s="128">
        <v>2</v>
      </c>
      <c r="B289" s="236"/>
      <c r="C289" s="236"/>
      <c r="D289" s="236"/>
      <c r="E289" s="236"/>
      <c r="F289" s="236"/>
      <c r="G289" s="236"/>
      <c r="H289" s="236"/>
      <c r="I289" s="236"/>
      <c r="J289" s="236"/>
      <c r="K289" s="236"/>
      <c r="L289" s="236"/>
      <c r="N289" s="128">
        <v>2</v>
      </c>
      <c r="O289" s="236"/>
      <c r="P289" s="236"/>
      <c r="Q289" s="236"/>
      <c r="R289" s="236"/>
      <c r="S289" s="236"/>
      <c r="T289" s="236"/>
      <c r="U289" s="236"/>
      <c r="V289" s="236"/>
      <c r="W289" s="236"/>
      <c r="X289" s="236"/>
      <c r="Y289" s="236"/>
      <c r="AA289" s="128">
        <v>2</v>
      </c>
      <c r="AB289" s="236"/>
      <c r="AC289" s="236"/>
      <c r="AD289" s="236"/>
      <c r="AE289" s="236"/>
      <c r="AF289" s="236"/>
      <c r="AG289" s="236"/>
      <c r="AH289" s="236"/>
      <c r="AI289" s="236"/>
      <c r="AJ289" s="236"/>
      <c r="AK289" s="236"/>
      <c r="AL289" s="236"/>
    </row>
    <row r="290" spans="1:38" ht="16.5" x14ac:dyDescent="0.3">
      <c r="A290" s="237" t="s">
        <v>37</v>
      </c>
      <c r="B290" s="237"/>
      <c r="C290" s="237" t="s">
        <v>18</v>
      </c>
      <c r="D290" s="237"/>
      <c r="E290" s="237" t="s">
        <v>964</v>
      </c>
      <c r="F290" s="237"/>
      <c r="G290" s="238" t="s">
        <v>909</v>
      </c>
      <c r="H290" s="239">
        <v>17</v>
      </c>
      <c r="I290" s="229" t="s">
        <v>1148</v>
      </c>
      <c r="J290" s="230"/>
      <c r="K290" s="230"/>
      <c r="L290" s="231"/>
      <c r="N290" s="237" t="s">
        <v>37</v>
      </c>
      <c r="O290" s="237"/>
      <c r="P290" s="237" t="s">
        <v>18</v>
      </c>
      <c r="Q290" s="237"/>
      <c r="R290" s="237" t="s">
        <v>964</v>
      </c>
      <c r="S290" s="237"/>
      <c r="T290" s="238" t="s">
        <v>909</v>
      </c>
      <c r="U290" s="239">
        <v>18</v>
      </c>
      <c r="V290" s="229" t="s">
        <v>1089</v>
      </c>
      <c r="W290" s="230"/>
      <c r="X290" s="230"/>
      <c r="Y290" s="231"/>
      <c r="AA290" s="237" t="s">
        <v>37</v>
      </c>
      <c r="AB290" s="237"/>
      <c r="AC290" s="237" t="s">
        <v>18</v>
      </c>
      <c r="AD290" s="237"/>
      <c r="AE290" s="237" t="s">
        <v>964</v>
      </c>
      <c r="AF290" s="237"/>
      <c r="AG290" s="238" t="s">
        <v>909</v>
      </c>
      <c r="AH290" s="239">
        <v>18</v>
      </c>
      <c r="AI290" s="229" t="s">
        <v>1158</v>
      </c>
      <c r="AJ290" s="230"/>
      <c r="AK290" s="230"/>
      <c r="AL290" s="231"/>
    </row>
    <row r="291" spans="1:38" x14ac:dyDescent="0.25">
      <c r="A291" s="228" t="s">
        <v>2</v>
      </c>
      <c r="B291" s="228"/>
      <c r="C291" s="228" t="s">
        <v>912</v>
      </c>
      <c r="D291" s="228"/>
      <c r="E291" s="228" t="s">
        <v>913</v>
      </c>
      <c r="F291" s="228"/>
      <c r="G291" s="238"/>
      <c r="H291" s="239"/>
      <c r="I291" s="229"/>
      <c r="J291" s="230"/>
      <c r="K291" s="230"/>
      <c r="L291" s="231"/>
      <c r="N291" s="228" t="s">
        <v>2</v>
      </c>
      <c r="O291" s="228"/>
      <c r="P291" s="228" t="s">
        <v>912</v>
      </c>
      <c r="Q291" s="228"/>
      <c r="R291" s="228" t="s">
        <v>913</v>
      </c>
      <c r="S291" s="228"/>
      <c r="T291" s="238"/>
      <c r="U291" s="239"/>
      <c r="V291" s="229"/>
      <c r="W291" s="230"/>
      <c r="X291" s="230"/>
      <c r="Y291" s="231"/>
      <c r="AA291" s="228" t="s">
        <v>2</v>
      </c>
      <c r="AB291" s="228"/>
      <c r="AC291" s="228" t="s">
        <v>912</v>
      </c>
      <c r="AD291" s="228"/>
      <c r="AE291" s="228" t="s">
        <v>913</v>
      </c>
      <c r="AF291" s="228"/>
      <c r="AG291" s="238"/>
      <c r="AH291" s="239"/>
      <c r="AI291" s="229" t="s">
        <v>1046</v>
      </c>
      <c r="AJ291" s="230"/>
      <c r="AK291" s="230"/>
      <c r="AL291" s="231"/>
    </row>
    <row r="292" spans="1:38" x14ac:dyDescent="0.25">
      <c r="A292" s="232">
        <f>C296</f>
        <v>2</v>
      </c>
      <c r="B292" s="232"/>
      <c r="C292" s="233">
        <v>30</v>
      </c>
      <c r="D292" s="233"/>
      <c r="E292" s="233"/>
      <c r="F292" s="233"/>
      <c r="G292" s="235">
        <v>6</v>
      </c>
      <c r="H292" s="235" t="str">
        <f>IF(C290="Tiny","d4",IF(C290="Small","d6",IF(C290="Medium","d8",IF(C290="Large","d10",IF(C290="Huge","d12",IF(C290="Gargantuan","d20",""))))))</f>
        <v>d8</v>
      </c>
      <c r="I292" s="223">
        <f>IFERROR(G292*E296,0)</f>
        <v>12</v>
      </c>
      <c r="J292" s="224">
        <f>ROUNDDOWN((0.5*(1+VALUE(RIGHT(H292,LEN(H292)-1)))+IF(E296="",0,E296))*G292,0)</f>
        <v>39</v>
      </c>
      <c r="K292" s="224"/>
      <c r="L292" s="225">
        <v>4</v>
      </c>
      <c r="N292" s="232">
        <f>P296</f>
        <v>1</v>
      </c>
      <c r="O292" s="232"/>
      <c r="P292" s="233">
        <v>30</v>
      </c>
      <c r="Q292" s="233"/>
      <c r="R292" s="233"/>
      <c r="S292" s="233"/>
      <c r="T292" s="235">
        <v>9</v>
      </c>
      <c r="U292" s="235" t="str">
        <f>IF(P290="Tiny","d4",IF(P290="Small","d6",IF(P290="Medium","d8",IF(P290="Large","d10",IF(P290="Huge","d12",IF(P290="Gargantuan","d20",""))))))</f>
        <v>d8</v>
      </c>
      <c r="V292" s="223">
        <f>IFERROR(T292*R296,0)</f>
        <v>18</v>
      </c>
      <c r="W292" s="224">
        <f>ROUNDDOWN((0.5*(1+VALUE(RIGHT(U292,LEN(U292)-1)))+IF(R296="",0,R296))*T292,0)</f>
        <v>58</v>
      </c>
      <c r="X292" s="224"/>
      <c r="Y292" s="225">
        <v>5</v>
      </c>
      <c r="AA292" s="232">
        <f>AC296</f>
        <v>1</v>
      </c>
      <c r="AB292" s="232"/>
      <c r="AC292" s="233">
        <v>30</v>
      </c>
      <c r="AD292" s="233"/>
      <c r="AE292" s="233"/>
      <c r="AF292" s="233"/>
      <c r="AG292" s="235">
        <v>2</v>
      </c>
      <c r="AH292" s="235" t="str">
        <f>IF(AC290="Tiny","d4",IF(AC290="Small","d6",IF(AC290="Medium","d8",IF(AC290="Large","d10",IF(AC290="Huge","d12",IF(AC290="Gargantuan","d20",""))))))</f>
        <v>d8</v>
      </c>
      <c r="AI292" s="223">
        <f>IFERROR(AG292*AE296,0)</f>
        <v>2</v>
      </c>
      <c r="AJ292" s="224">
        <f>ROUNDDOWN((0.5*(1+VALUE(RIGHT(AH292,LEN(AH292)-1)))+IF(AE296="",0,AE296))*AG292,0)</f>
        <v>11</v>
      </c>
      <c r="AK292" s="224"/>
      <c r="AL292" s="225">
        <v>0.5</v>
      </c>
    </row>
    <row r="293" spans="1:38" x14ac:dyDescent="0.25">
      <c r="A293" s="232"/>
      <c r="B293" s="232"/>
      <c r="C293" s="234"/>
      <c r="D293" s="234"/>
      <c r="E293" s="234"/>
      <c r="F293" s="234"/>
      <c r="G293" s="235"/>
      <c r="H293" s="235"/>
      <c r="I293" s="223"/>
      <c r="J293" s="224"/>
      <c r="K293" s="224"/>
      <c r="L293" s="225"/>
      <c r="N293" s="232"/>
      <c r="O293" s="232"/>
      <c r="P293" s="234"/>
      <c r="Q293" s="234"/>
      <c r="R293" s="234"/>
      <c r="S293" s="234"/>
      <c r="T293" s="235"/>
      <c r="U293" s="235"/>
      <c r="V293" s="223"/>
      <c r="W293" s="224"/>
      <c r="X293" s="224"/>
      <c r="Y293" s="225"/>
      <c r="AA293" s="232"/>
      <c r="AB293" s="232"/>
      <c r="AC293" s="234"/>
      <c r="AD293" s="234"/>
      <c r="AE293" s="234"/>
      <c r="AF293" s="234"/>
      <c r="AG293" s="235"/>
      <c r="AH293" s="235"/>
      <c r="AI293" s="223"/>
      <c r="AJ293" s="224"/>
      <c r="AK293" s="224"/>
      <c r="AL293" s="225"/>
    </row>
    <row r="294" spans="1:38" ht="15.75" thickBot="1" x14ac:dyDescent="0.3">
      <c r="A294" s="226" t="str">
        <f>"Base Init:"&amp;C296</f>
        <v>Base Init:2</v>
      </c>
      <c r="B294" s="226"/>
      <c r="C294" s="129" t="s">
        <v>914</v>
      </c>
      <c r="D294" s="129" t="s">
        <v>915</v>
      </c>
      <c r="E294" s="129" t="s">
        <v>915</v>
      </c>
      <c r="F294" s="129" t="s">
        <v>915</v>
      </c>
      <c r="G294" s="226" t="s">
        <v>916</v>
      </c>
      <c r="H294" s="226"/>
      <c r="I294" s="226"/>
      <c r="J294" s="226"/>
      <c r="K294" s="226"/>
      <c r="L294" s="129" t="s">
        <v>11</v>
      </c>
      <c r="N294" s="226" t="str">
        <f>"Base Init:"&amp;P296</f>
        <v>Base Init:1</v>
      </c>
      <c r="O294" s="226"/>
      <c r="P294" s="129" t="s">
        <v>914</v>
      </c>
      <c r="Q294" s="129" t="s">
        <v>915</v>
      </c>
      <c r="R294" s="129" t="s">
        <v>915</v>
      </c>
      <c r="S294" s="129" t="s">
        <v>915</v>
      </c>
      <c r="T294" s="226" t="s">
        <v>916</v>
      </c>
      <c r="U294" s="226"/>
      <c r="V294" s="226"/>
      <c r="W294" s="226"/>
      <c r="X294" s="226"/>
      <c r="Y294" s="129" t="s">
        <v>11</v>
      </c>
      <c r="AA294" s="226" t="str">
        <f>"Base Init:"&amp;AC296</f>
        <v>Base Init:1</v>
      </c>
      <c r="AB294" s="226"/>
      <c r="AC294" s="129" t="s">
        <v>914</v>
      </c>
      <c r="AD294" s="129" t="s">
        <v>915</v>
      </c>
      <c r="AE294" s="129" t="s">
        <v>915</v>
      </c>
      <c r="AF294" s="129" t="s">
        <v>915</v>
      </c>
      <c r="AG294" s="226" t="s">
        <v>916</v>
      </c>
      <c r="AH294" s="226"/>
      <c r="AI294" s="226"/>
      <c r="AJ294" s="226"/>
      <c r="AK294" s="226"/>
      <c r="AL294" s="129" t="s">
        <v>11</v>
      </c>
    </row>
    <row r="295" spans="1:38" ht="17.25" x14ac:dyDescent="0.25">
      <c r="A295" s="227">
        <v>15</v>
      </c>
      <c r="B295" s="219"/>
      <c r="C295" s="218">
        <v>14</v>
      </c>
      <c r="D295" s="219"/>
      <c r="E295" s="218">
        <v>14</v>
      </c>
      <c r="F295" s="219"/>
      <c r="G295" s="218">
        <v>12</v>
      </c>
      <c r="H295" s="219"/>
      <c r="I295" s="218">
        <v>10</v>
      </c>
      <c r="J295" s="219"/>
      <c r="K295" s="218">
        <v>13</v>
      </c>
      <c r="L295" s="219"/>
      <c r="N295" s="227">
        <v>16</v>
      </c>
      <c r="O295" s="219"/>
      <c r="P295" s="218">
        <v>13</v>
      </c>
      <c r="Q295" s="219"/>
      <c r="R295" s="218">
        <v>14</v>
      </c>
      <c r="S295" s="219"/>
      <c r="T295" s="218">
        <v>10</v>
      </c>
      <c r="U295" s="219"/>
      <c r="V295" s="218">
        <v>11</v>
      </c>
      <c r="W295" s="219"/>
      <c r="X295" s="218">
        <v>10</v>
      </c>
      <c r="Y295" s="219"/>
      <c r="AA295" s="227">
        <v>13</v>
      </c>
      <c r="AB295" s="219"/>
      <c r="AC295" s="218">
        <v>12</v>
      </c>
      <c r="AD295" s="219"/>
      <c r="AE295" s="218">
        <v>12</v>
      </c>
      <c r="AF295" s="219"/>
      <c r="AG295" s="218">
        <v>10</v>
      </c>
      <c r="AH295" s="219"/>
      <c r="AI295" s="218">
        <v>10</v>
      </c>
      <c r="AJ295" s="219"/>
      <c r="AK295" s="218">
        <v>9</v>
      </c>
      <c r="AL295" s="219"/>
    </row>
    <row r="296" spans="1:38" x14ac:dyDescent="0.25">
      <c r="A296" s="220">
        <f>IF(A295=0,"",IF(A295&gt;10,ROUNDDOWN((A295-10)/2,0),ROUNDUP((A295-10)/2,0)))</f>
        <v>2</v>
      </c>
      <c r="B296" s="221"/>
      <c r="C296" s="222">
        <f>IF(C295=0,"",IF(C295&gt;10,ROUNDDOWN((C295-10)/2,0),ROUNDUP((C295-10)/2,0)))</f>
        <v>2</v>
      </c>
      <c r="D296" s="221"/>
      <c r="E296" s="222">
        <f>IF(E295=0,"",IF(E295&gt;10,ROUNDDOWN((E295-10)/2,0),ROUNDUP((E295-10)/2,0)))</f>
        <v>2</v>
      </c>
      <c r="F296" s="221"/>
      <c r="G296" s="222">
        <f>IF(G295=0,"",IF(G295&gt;10,ROUNDDOWN((G295-10)/2,0),ROUNDUP((G295-10)/2,0)))</f>
        <v>1</v>
      </c>
      <c r="H296" s="221"/>
      <c r="I296" s="222">
        <f>IF(I295=0,"",IF(I295&gt;10,ROUNDDOWN((I295-10)/2,0),ROUNDUP((I295-10)/2,0)))</f>
        <v>0</v>
      </c>
      <c r="J296" s="221"/>
      <c r="K296" s="222">
        <f>IF(K295=0,"",IF(K295&gt;10,ROUNDDOWN((K295-10)/2,0),ROUNDUP((K295-10)/2,0)))</f>
        <v>1</v>
      </c>
      <c r="L296" s="221"/>
      <c r="N296" s="220">
        <f>IF(N295=0,"",IF(N295&gt;10,ROUNDDOWN((N295-10)/2,0),ROUNDUP((N295-10)/2,0)))</f>
        <v>3</v>
      </c>
      <c r="O296" s="221"/>
      <c r="P296" s="222">
        <f>IF(P295=0,"",IF(P295&gt;10,ROUNDDOWN((P295-10)/2,0),ROUNDUP((P295-10)/2,0)))</f>
        <v>1</v>
      </c>
      <c r="Q296" s="221"/>
      <c r="R296" s="222">
        <f>IF(R295=0,"",IF(R295&gt;10,ROUNDDOWN((R295-10)/2,0),ROUNDUP((R295-10)/2,0)))</f>
        <v>2</v>
      </c>
      <c r="S296" s="221"/>
      <c r="T296" s="222">
        <f>IF(T295=0,"",IF(T295&gt;10,ROUNDDOWN((T295-10)/2,0),ROUNDUP((T295-10)/2,0)))</f>
        <v>0</v>
      </c>
      <c r="U296" s="221"/>
      <c r="V296" s="222">
        <f>IF(V295=0,"",IF(V295&gt;10,ROUNDDOWN((V295-10)/2,0),ROUNDUP((V295-10)/2,0)))</f>
        <v>0</v>
      </c>
      <c r="W296" s="221"/>
      <c r="X296" s="222">
        <f>IF(X295=0,"",IF(X295&gt;10,ROUNDDOWN((X295-10)/2,0),ROUNDUP((X295-10)/2,0)))</f>
        <v>0</v>
      </c>
      <c r="Y296" s="221"/>
      <c r="AA296" s="220">
        <f>IF(AA295=0,"",IF(AA295&gt;10,ROUNDDOWN((AA295-10)/2,0),ROUNDUP((AA295-10)/2,0)))</f>
        <v>1</v>
      </c>
      <c r="AB296" s="221"/>
      <c r="AC296" s="222">
        <f>IF(AC295=0,"",IF(AC295&gt;10,ROUNDDOWN((AC295-10)/2,0),ROUNDUP((AC295-10)/2,0)))</f>
        <v>1</v>
      </c>
      <c r="AD296" s="221"/>
      <c r="AE296" s="222">
        <f>IF(AE295=0,"",IF(AE295&gt;10,ROUNDDOWN((AE295-10)/2,0),ROUNDUP((AE295-10)/2,0)))</f>
        <v>1</v>
      </c>
      <c r="AF296" s="221"/>
      <c r="AG296" s="222">
        <f>IF(AG295=0,"",IF(AG295&gt;10,ROUNDDOWN((AG295-10)/2,0),ROUNDUP((AG295-10)/2,0)))</f>
        <v>0</v>
      </c>
      <c r="AH296" s="221"/>
      <c r="AI296" s="222">
        <f>IF(AI295=0,"",IF(AI295&gt;10,ROUNDDOWN((AI295-10)/2,0),ROUNDUP((AI295-10)/2,0)))</f>
        <v>0</v>
      </c>
      <c r="AJ296" s="221"/>
      <c r="AK296" s="222">
        <f>IF(AK295=0,"",IF(AK295&gt;10,ROUNDDOWN((AK295-10)/2,0),ROUNDUP((AK295-10)/2,0)))</f>
        <v>-1</v>
      </c>
      <c r="AL296" s="221"/>
    </row>
    <row r="297" spans="1:38" x14ac:dyDescent="0.25">
      <c r="A297" s="220"/>
      <c r="B297" s="221"/>
      <c r="C297" s="222"/>
      <c r="D297" s="221"/>
      <c r="E297" s="222"/>
      <c r="F297" s="221"/>
      <c r="G297" s="222"/>
      <c r="H297" s="221"/>
      <c r="I297" s="222"/>
      <c r="J297" s="221"/>
      <c r="K297" s="222"/>
      <c r="L297" s="221"/>
      <c r="N297" s="220"/>
      <c r="O297" s="221"/>
      <c r="P297" s="222"/>
      <c r="Q297" s="221"/>
      <c r="R297" s="222"/>
      <c r="S297" s="221"/>
      <c r="T297" s="222"/>
      <c r="U297" s="221"/>
      <c r="V297" s="222"/>
      <c r="W297" s="221"/>
      <c r="X297" s="222"/>
      <c r="Y297" s="221"/>
      <c r="AA297" s="220"/>
      <c r="AB297" s="221"/>
      <c r="AC297" s="222"/>
      <c r="AD297" s="221"/>
      <c r="AE297" s="222"/>
      <c r="AF297" s="221"/>
      <c r="AG297" s="222"/>
      <c r="AH297" s="221"/>
      <c r="AI297" s="222"/>
      <c r="AJ297" s="221"/>
      <c r="AK297" s="222"/>
      <c r="AL297" s="221"/>
    </row>
    <row r="298" spans="1:38" ht="15.75" thickBot="1" x14ac:dyDescent="0.3">
      <c r="A298" s="215" t="s">
        <v>917</v>
      </c>
      <c r="B298" s="216"/>
      <c r="C298" s="217" t="s">
        <v>918</v>
      </c>
      <c r="D298" s="216"/>
      <c r="E298" s="217" t="s">
        <v>919</v>
      </c>
      <c r="F298" s="216"/>
      <c r="G298" s="217" t="s">
        <v>920</v>
      </c>
      <c r="H298" s="216"/>
      <c r="I298" s="217" t="s">
        <v>921</v>
      </c>
      <c r="J298" s="216"/>
      <c r="K298" s="217" t="s">
        <v>922</v>
      </c>
      <c r="L298" s="216"/>
      <c r="N298" s="215" t="s">
        <v>917</v>
      </c>
      <c r="O298" s="216"/>
      <c r="P298" s="217" t="s">
        <v>918</v>
      </c>
      <c r="Q298" s="216"/>
      <c r="R298" s="217" t="s">
        <v>919</v>
      </c>
      <c r="S298" s="216"/>
      <c r="T298" s="217" t="s">
        <v>920</v>
      </c>
      <c r="U298" s="216"/>
      <c r="V298" s="217" t="s">
        <v>921</v>
      </c>
      <c r="W298" s="216"/>
      <c r="X298" s="217" t="s">
        <v>922</v>
      </c>
      <c r="Y298" s="216"/>
      <c r="AA298" s="215" t="s">
        <v>917</v>
      </c>
      <c r="AB298" s="216"/>
      <c r="AC298" s="217" t="s">
        <v>918</v>
      </c>
      <c r="AD298" s="216"/>
      <c r="AE298" s="217" t="s">
        <v>919</v>
      </c>
      <c r="AF298" s="216"/>
      <c r="AG298" s="217" t="s">
        <v>920</v>
      </c>
      <c r="AH298" s="216"/>
      <c r="AI298" s="217" t="s">
        <v>921</v>
      </c>
      <c r="AJ298" s="216"/>
      <c r="AK298" s="217" t="s">
        <v>922</v>
      </c>
      <c r="AL298" s="216"/>
    </row>
    <row r="299" spans="1:38" ht="15.75" thickBot="1" x14ac:dyDescent="0.3">
      <c r="A299" s="180" t="s">
        <v>923</v>
      </c>
      <c r="B299" s="181"/>
      <c r="C299" s="181"/>
      <c r="D299" s="181"/>
      <c r="E299" s="181"/>
      <c r="F299" s="182"/>
      <c r="G299" s="180" t="s">
        <v>924</v>
      </c>
      <c r="H299" s="181"/>
      <c r="I299" s="181"/>
      <c r="J299" s="181"/>
      <c r="K299" s="181"/>
      <c r="L299" s="182"/>
      <c r="N299" s="180" t="s">
        <v>923</v>
      </c>
      <c r="O299" s="181"/>
      <c r="P299" s="181"/>
      <c r="Q299" s="181"/>
      <c r="R299" s="181"/>
      <c r="S299" s="182"/>
      <c r="T299" s="180" t="s">
        <v>924</v>
      </c>
      <c r="U299" s="181"/>
      <c r="V299" s="181"/>
      <c r="W299" s="181"/>
      <c r="X299" s="181"/>
      <c r="Y299" s="182"/>
      <c r="AA299" s="180" t="s">
        <v>923</v>
      </c>
      <c r="AB299" s="181"/>
      <c r="AC299" s="181"/>
      <c r="AD299" s="181"/>
      <c r="AE299" s="181"/>
      <c r="AF299" s="182"/>
      <c r="AG299" s="180" t="s">
        <v>924</v>
      </c>
      <c r="AH299" s="181"/>
      <c r="AI299" s="181"/>
      <c r="AJ299" s="181"/>
      <c r="AK299" s="181"/>
      <c r="AL299" s="182"/>
    </row>
    <row r="300" spans="1:38" ht="16.5" x14ac:dyDescent="0.3">
      <c r="A300" s="131" t="s">
        <v>917</v>
      </c>
      <c r="B300" s="132">
        <f>IFERROR(IF(C300="prof",A296+A289,A296),"")</f>
        <v>2</v>
      </c>
      <c r="C300" s="137" t="s">
        <v>925</v>
      </c>
      <c r="D300" s="134" t="s">
        <v>920</v>
      </c>
      <c r="E300" s="135">
        <f>IFERROR(IF(F300="prof",G296+A289,G296),"")</f>
        <v>1</v>
      </c>
      <c r="F300" s="136" t="s">
        <v>925</v>
      </c>
      <c r="G300" s="207" t="s">
        <v>926</v>
      </c>
      <c r="H300" s="208"/>
      <c r="I300" s="208"/>
      <c r="J300" s="211">
        <f>IFERROR(IF(L300="prof",I296+A289+10,I296+10),"")</f>
        <v>10</v>
      </c>
      <c r="K300" s="211"/>
      <c r="L300" s="213" t="s">
        <v>925</v>
      </c>
      <c r="N300" s="131" t="s">
        <v>917</v>
      </c>
      <c r="O300" s="132">
        <f>IFERROR(IF(P300="prof",N296+N289,N296),"")</f>
        <v>5</v>
      </c>
      <c r="P300" s="133" t="s">
        <v>932</v>
      </c>
      <c r="Q300" s="134" t="s">
        <v>920</v>
      </c>
      <c r="R300" s="135">
        <f>IFERROR(IF(S300="prof",T296+N289,T296),"")</f>
        <v>0</v>
      </c>
      <c r="S300" s="136" t="s">
        <v>925</v>
      </c>
      <c r="T300" s="207" t="s">
        <v>926</v>
      </c>
      <c r="U300" s="208"/>
      <c r="V300" s="208"/>
      <c r="W300" s="211">
        <f>IFERROR(IF(Y300="prof",V296+N289+10,V296+10),"")</f>
        <v>12</v>
      </c>
      <c r="X300" s="211"/>
      <c r="Y300" s="213" t="s">
        <v>932</v>
      </c>
      <c r="AA300" s="131" t="s">
        <v>917</v>
      </c>
      <c r="AB300" s="132">
        <f>IFERROR(IF(AC300="prof",AA296+AA289,AA296),"")</f>
        <v>3</v>
      </c>
      <c r="AC300" s="133" t="s">
        <v>932</v>
      </c>
      <c r="AD300" s="134" t="s">
        <v>920</v>
      </c>
      <c r="AE300" s="135">
        <f>IFERROR(IF(AF300="prof",AG296+AA289,AG296),"")</f>
        <v>0</v>
      </c>
      <c r="AF300" s="136" t="s">
        <v>925</v>
      </c>
      <c r="AG300" s="207" t="s">
        <v>926</v>
      </c>
      <c r="AH300" s="208"/>
      <c r="AI300" s="208"/>
      <c r="AJ300" s="211">
        <f>IFERROR(IF(AL300="prof",AI296+AA289+10,AI296+10),"")</f>
        <v>12</v>
      </c>
      <c r="AK300" s="211"/>
      <c r="AL300" s="213" t="s">
        <v>932</v>
      </c>
    </row>
    <row r="301" spans="1:38" ht="16.5" x14ac:dyDescent="0.3">
      <c r="A301" s="134" t="s">
        <v>918</v>
      </c>
      <c r="B301" s="135">
        <f>IFERROR(IF(C301="prof",C296+A289,C296),"")</f>
        <v>2</v>
      </c>
      <c r="C301" s="137" t="s">
        <v>925</v>
      </c>
      <c r="D301" s="134" t="s">
        <v>921</v>
      </c>
      <c r="E301" s="135">
        <f>IFERROR(IF(F301="prof",I296+A289,I296),"")</f>
        <v>0</v>
      </c>
      <c r="F301" s="136" t="s">
        <v>925</v>
      </c>
      <c r="G301" s="209"/>
      <c r="H301" s="210"/>
      <c r="I301" s="210"/>
      <c r="J301" s="212"/>
      <c r="K301" s="212"/>
      <c r="L301" s="214"/>
      <c r="N301" s="134" t="s">
        <v>918</v>
      </c>
      <c r="O301" s="135">
        <f>IFERROR(IF(P301="prof",P296+N289,P296),"")</f>
        <v>1</v>
      </c>
      <c r="P301" s="137" t="s">
        <v>925</v>
      </c>
      <c r="Q301" s="134" t="s">
        <v>921</v>
      </c>
      <c r="R301" s="135">
        <f>IFERROR(IF(S301="prof",V296+N289,V296),"")</f>
        <v>0</v>
      </c>
      <c r="S301" s="136" t="s">
        <v>925</v>
      </c>
      <c r="T301" s="209"/>
      <c r="U301" s="210"/>
      <c r="V301" s="210"/>
      <c r="W301" s="212"/>
      <c r="X301" s="212"/>
      <c r="Y301" s="214"/>
      <c r="AA301" s="134" t="s">
        <v>918</v>
      </c>
      <c r="AB301" s="135">
        <f>IFERROR(IF(AC301="prof",AC296+AA289,AC296),"")</f>
        <v>1</v>
      </c>
      <c r="AC301" s="137" t="s">
        <v>925</v>
      </c>
      <c r="AD301" s="134" t="s">
        <v>921</v>
      </c>
      <c r="AE301" s="135">
        <f>IFERROR(IF(AF301="prof",AI296+AA289,AI296),"")</f>
        <v>0</v>
      </c>
      <c r="AF301" s="136" t="s">
        <v>925</v>
      </c>
      <c r="AG301" s="209"/>
      <c r="AH301" s="210"/>
      <c r="AI301" s="210"/>
      <c r="AJ301" s="212"/>
      <c r="AK301" s="212"/>
      <c r="AL301" s="214"/>
    </row>
    <row r="302" spans="1:38" ht="17.25" thickBot="1" x14ac:dyDescent="0.35">
      <c r="A302" s="134" t="s">
        <v>919</v>
      </c>
      <c r="B302" s="135">
        <f>IFERROR(IF(C302="prof",E296+A289,E296),"")</f>
        <v>2</v>
      </c>
      <c r="C302" s="137" t="s">
        <v>925</v>
      </c>
      <c r="D302" s="134" t="s">
        <v>927</v>
      </c>
      <c r="E302" s="135">
        <f>IFERROR(IF(F302="prof",K296+A289,K296),"")</f>
        <v>1</v>
      </c>
      <c r="F302" s="136" t="s">
        <v>925</v>
      </c>
      <c r="G302" s="199" t="s">
        <v>983</v>
      </c>
      <c r="H302" s="186"/>
      <c r="I302" s="138">
        <v>60</v>
      </c>
      <c r="J302" s="199" t="s">
        <v>915</v>
      </c>
      <c r="K302" s="186"/>
      <c r="L302" s="139">
        <v>0</v>
      </c>
      <c r="N302" s="134" t="s">
        <v>919</v>
      </c>
      <c r="O302" s="135">
        <f>IFERROR(IF(P302="prof",R296+N289,R296),"")</f>
        <v>4</v>
      </c>
      <c r="P302" s="137" t="s">
        <v>932</v>
      </c>
      <c r="Q302" s="134" t="s">
        <v>927</v>
      </c>
      <c r="R302" s="135">
        <f>IFERROR(IF(S302="prof",X296+N289,X296),"")</f>
        <v>0</v>
      </c>
      <c r="S302" s="136" t="s">
        <v>925</v>
      </c>
      <c r="T302" s="199" t="s">
        <v>983</v>
      </c>
      <c r="U302" s="186"/>
      <c r="V302" s="138">
        <v>60</v>
      </c>
      <c r="W302" s="199" t="s">
        <v>1071</v>
      </c>
      <c r="X302" s="186"/>
      <c r="Y302" s="139">
        <v>30</v>
      </c>
      <c r="AA302" s="134" t="s">
        <v>919</v>
      </c>
      <c r="AB302" s="135">
        <f>IFERROR(IF(AC302="prof",AE296+AA289,AE296),"")</f>
        <v>3</v>
      </c>
      <c r="AC302" s="137" t="s">
        <v>932</v>
      </c>
      <c r="AD302" s="134" t="s">
        <v>927</v>
      </c>
      <c r="AE302" s="135">
        <f>IFERROR(IF(AF302="prof",AK296+AA289,AK296),"")</f>
        <v>-1</v>
      </c>
      <c r="AF302" s="136" t="s">
        <v>925</v>
      </c>
      <c r="AG302" s="199" t="s">
        <v>983</v>
      </c>
      <c r="AH302" s="186"/>
      <c r="AI302" s="138">
        <v>60</v>
      </c>
      <c r="AJ302" s="199" t="s">
        <v>915</v>
      </c>
      <c r="AK302" s="186"/>
      <c r="AL302" s="139">
        <v>0</v>
      </c>
    </row>
    <row r="303" spans="1:38" ht="15.75" thickBot="1" x14ac:dyDescent="0.3">
      <c r="A303" s="180" t="s">
        <v>928</v>
      </c>
      <c r="B303" s="181"/>
      <c r="C303" s="181"/>
      <c r="D303" s="181"/>
      <c r="E303" s="181"/>
      <c r="F303" s="182"/>
      <c r="G303" s="180" t="s">
        <v>929</v>
      </c>
      <c r="H303" s="181"/>
      <c r="I303" s="181"/>
      <c r="J303" s="181"/>
      <c r="K303" s="181"/>
      <c r="L303" s="182"/>
      <c r="N303" s="180" t="s">
        <v>928</v>
      </c>
      <c r="O303" s="181"/>
      <c r="P303" s="181"/>
      <c r="Q303" s="181"/>
      <c r="R303" s="181"/>
      <c r="S303" s="182"/>
      <c r="T303" s="180" t="s">
        <v>929</v>
      </c>
      <c r="U303" s="181"/>
      <c r="V303" s="181"/>
      <c r="W303" s="181"/>
      <c r="X303" s="181"/>
      <c r="Y303" s="182"/>
      <c r="AA303" s="180" t="s">
        <v>928</v>
      </c>
      <c r="AB303" s="181"/>
      <c r="AC303" s="181"/>
      <c r="AD303" s="181"/>
      <c r="AE303" s="181"/>
      <c r="AF303" s="182"/>
      <c r="AG303" s="180" t="s">
        <v>929</v>
      </c>
      <c r="AH303" s="181"/>
      <c r="AI303" s="181"/>
      <c r="AJ303" s="181"/>
      <c r="AK303" s="181"/>
      <c r="AL303" s="182"/>
    </row>
    <row r="304" spans="1:38" ht="16.5" x14ac:dyDescent="0.3">
      <c r="A304" s="199" t="s">
        <v>1006</v>
      </c>
      <c r="B304" s="186"/>
      <c r="C304" s="186"/>
      <c r="D304" s="140" t="s">
        <v>931</v>
      </c>
      <c r="E304" s="140">
        <f>IF(F304="expert",2,IF(F304="prof",1,0))*A289+VALUE(IF(D304="Str",A296,IF(D304="Dex",C296,IF(D304="Con",E296,IF(D304="Int",G296,IF(D304="Wis",I296,IF(D304="Cha",K296,"")))))))</f>
        <v>4</v>
      </c>
      <c r="F304" s="141" t="s">
        <v>932</v>
      </c>
      <c r="G304" s="205"/>
      <c r="H304" s="206"/>
      <c r="I304" s="142"/>
      <c r="J304" s="206"/>
      <c r="K304" s="206"/>
      <c r="L304" s="143"/>
      <c r="N304" s="199" t="s">
        <v>1006</v>
      </c>
      <c r="O304" s="186"/>
      <c r="P304" s="186"/>
      <c r="Q304" s="140" t="s">
        <v>931</v>
      </c>
      <c r="R304" s="140">
        <f>IF(S304="expert",2,IF(S304="prof",1,0))*N289+VALUE(IF(Q304="Str",N296,IF(Q304="Dex",P296,IF(Q304="Con",R296,IF(Q304="Int",T296,IF(Q304="Wis",V296,IF(Q304="Cha",X296,"")))))))</f>
        <v>5</v>
      </c>
      <c r="S304" s="141" t="s">
        <v>932</v>
      </c>
      <c r="T304" s="205" t="s">
        <v>1154</v>
      </c>
      <c r="U304" s="206"/>
      <c r="V304" s="142" t="s">
        <v>1017</v>
      </c>
      <c r="W304" s="206"/>
      <c r="X304" s="206"/>
      <c r="Y304" s="143"/>
      <c r="AA304" s="199" t="s">
        <v>1006</v>
      </c>
      <c r="AB304" s="186"/>
      <c r="AC304" s="186"/>
      <c r="AD304" s="140" t="s">
        <v>931</v>
      </c>
      <c r="AE304" s="140">
        <f>IF(AF304="expert",2,IF(AF304="prof",1,0))*AA289+VALUE(IF(AD304="Str",AA296,IF(AD304="Dex",AC296,IF(AD304="Con",AE296,IF(AD304="Int",AG296,IF(AD304="Wis",AI296,IF(AD304="Cha",AK296,"")))))))</f>
        <v>3</v>
      </c>
      <c r="AF304" s="141" t="s">
        <v>932</v>
      </c>
      <c r="AG304" s="205"/>
      <c r="AH304" s="206"/>
      <c r="AI304" s="142"/>
      <c r="AJ304" s="206"/>
      <c r="AK304" s="206"/>
      <c r="AL304" s="143"/>
    </row>
    <row r="305" spans="1:38" ht="16.5" x14ac:dyDescent="0.3">
      <c r="A305" s="199" t="s">
        <v>1125</v>
      </c>
      <c r="B305" s="186"/>
      <c r="C305" s="186"/>
      <c r="D305" s="140" t="s">
        <v>931</v>
      </c>
      <c r="E305" s="140">
        <f>IF(F305="expert",2,IF(F305="prof",1,0))*A289+VALUE(IF(D305="Str",A296,IF(D305="Dex",C296,IF(D305="Con",E296,IF(D305="Int",G296,IF(D305="Wis",I296,IF(D305="Cha",K296,"")))))))</f>
        <v>4</v>
      </c>
      <c r="F305" s="141" t="s">
        <v>932</v>
      </c>
      <c r="G305" s="199"/>
      <c r="H305" s="186"/>
      <c r="I305" s="137"/>
      <c r="J305" s="186"/>
      <c r="K305" s="186"/>
      <c r="L305" s="141"/>
      <c r="N305" s="199" t="s">
        <v>1125</v>
      </c>
      <c r="O305" s="186"/>
      <c r="P305" s="186"/>
      <c r="Q305" s="140" t="s">
        <v>931</v>
      </c>
      <c r="R305" s="140">
        <f>IF(S305="expert",2,IF(S305="prof",1,0))*N289+VALUE(IF(Q305="Str",N296,IF(Q305="Dex",P296,IF(Q305="Con",R296,IF(Q305="Int",T296,IF(Q305="Wis",V296,IF(Q305="Cha",X296,"")))))))</f>
        <v>3</v>
      </c>
      <c r="S305" s="141" t="s">
        <v>915</v>
      </c>
      <c r="T305" s="199"/>
      <c r="U305" s="186"/>
      <c r="V305" s="137"/>
      <c r="W305" s="186"/>
      <c r="X305" s="186"/>
      <c r="Y305" s="141"/>
      <c r="AA305" s="199" t="s">
        <v>1125</v>
      </c>
      <c r="AB305" s="186"/>
      <c r="AC305" s="186"/>
      <c r="AD305" s="140" t="s">
        <v>931</v>
      </c>
      <c r="AE305" s="140">
        <f>IF(AF305="expert",2,IF(AF305="prof",1,0))*AA289+VALUE(IF(AD305="Str",AA296,IF(AD305="Dex",AC296,IF(AD305="Con",AE296,IF(AD305="Int",AG296,IF(AD305="Wis",AI296,IF(AD305="Cha",AK296,"")))))))</f>
        <v>1</v>
      </c>
      <c r="AF305" s="141" t="s">
        <v>915</v>
      </c>
      <c r="AG305" s="199"/>
      <c r="AH305" s="186"/>
      <c r="AI305" s="137"/>
      <c r="AJ305" s="186"/>
      <c r="AK305" s="186"/>
      <c r="AL305" s="141"/>
    </row>
    <row r="306" spans="1:38" ht="16.5" x14ac:dyDescent="0.3">
      <c r="A306" s="199" t="s">
        <v>969</v>
      </c>
      <c r="B306" s="186"/>
      <c r="C306" s="186"/>
      <c r="D306" s="140" t="s">
        <v>938</v>
      </c>
      <c r="E306" s="140">
        <f>IF(F306="expert",2,IF(F306="prof",1,0))*A289+VALUE(IF(D306="Str",A296,IF(D306="Dex",C296,IF(D306="Con",E296,IF(D306="Int",G296,IF(D306="Wis",I296,IF(D306="Cha",K296,"")))))))</f>
        <v>2</v>
      </c>
      <c r="F306" s="141" t="s">
        <v>932</v>
      </c>
      <c r="G306" s="199"/>
      <c r="H306" s="186"/>
      <c r="I306" s="137"/>
      <c r="J306" s="186"/>
      <c r="K306" s="186"/>
      <c r="L306" s="141"/>
      <c r="N306" s="199" t="s">
        <v>969</v>
      </c>
      <c r="O306" s="186"/>
      <c r="P306" s="186"/>
      <c r="Q306" s="140" t="s">
        <v>938</v>
      </c>
      <c r="R306" s="140">
        <f>IF(S306="expert",2,IF(S306="prof",1,0))*N289+VALUE(IF(Q306="Str",N296,IF(Q306="Dex",P296,IF(Q306="Con",R296,IF(Q306="Int",T296,IF(Q306="Wis",V296,IF(Q306="Cha",X296,"")))))))</f>
        <v>2</v>
      </c>
      <c r="S306" s="141" t="s">
        <v>932</v>
      </c>
      <c r="T306" s="199"/>
      <c r="U306" s="186"/>
      <c r="V306" s="137"/>
      <c r="W306" s="186"/>
      <c r="X306" s="186"/>
      <c r="Y306" s="141"/>
      <c r="AA306" s="199" t="s">
        <v>969</v>
      </c>
      <c r="AB306" s="186"/>
      <c r="AC306" s="186"/>
      <c r="AD306" s="140" t="s">
        <v>938</v>
      </c>
      <c r="AE306" s="140">
        <f>IF(AF306="expert",2,IF(AF306="prof",1,0))*AA289+VALUE(IF(AD306="Str",AA296,IF(AD306="Dex",AC296,IF(AD306="Con",AE296,IF(AD306="Int",AG296,IF(AD306="Wis",AI296,IF(AD306="Cha",AK296,"")))))))</f>
        <v>2</v>
      </c>
      <c r="AF306" s="141" t="s">
        <v>932</v>
      </c>
      <c r="AG306" s="199"/>
      <c r="AH306" s="186"/>
      <c r="AI306" s="137"/>
      <c r="AJ306" s="186"/>
      <c r="AK306" s="186"/>
      <c r="AL306" s="141"/>
    </row>
    <row r="307" spans="1:38" ht="16.5" x14ac:dyDescent="0.3">
      <c r="A307" s="199" t="s">
        <v>986</v>
      </c>
      <c r="B307" s="186"/>
      <c r="C307" s="186"/>
      <c r="D307" s="140" t="s">
        <v>934</v>
      </c>
      <c r="E307" s="140">
        <f>IF(F307="expert",2,IF(F307="prof",1,0))*A289+VALUE(IF(D307="Str",A296,IF(D307="Dex",C296,IF(D307="Con",E296,IF(D307="Int",G296,IF(D307="Wis",I296,IF(D307="Cha",K296,"")))))))</f>
        <v>2</v>
      </c>
      <c r="F307" s="145" t="s">
        <v>915</v>
      </c>
      <c r="G307" s="199"/>
      <c r="H307" s="186"/>
      <c r="I307" s="137"/>
      <c r="J307" s="186"/>
      <c r="K307" s="186"/>
      <c r="L307" s="141"/>
      <c r="N307" s="199" t="s">
        <v>986</v>
      </c>
      <c r="O307" s="186"/>
      <c r="P307" s="186"/>
      <c r="Q307" s="140" t="s">
        <v>934</v>
      </c>
      <c r="R307" s="140">
        <f>IF(S307="expert",2,IF(S307="prof",1,0))*N289+VALUE(IF(Q307="Str",N296,IF(Q307="Dex",P296,IF(Q307="Con",R296,IF(Q307="Int",T296,IF(Q307="Wis",V296,IF(Q307="Cha",X296,"")))))))</f>
        <v>1</v>
      </c>
      <c r="S307" s="145" t="s">
        <v>915</v>
      </c>
      <c r="T307" s="199"/>
      <c r="U307" s="186"/>
      <c r="V307" s="137"/>
      <c r="W307" s="186"/>
      <c r="X307" s="186"/>
      <c r="Y307" s="141"/>
      <c r="AA307" s="199" t="s">
        <v>986</v>
      </c>
      <c r="AB307" s="186"/>
      <c r="AC307" s="186"/>
      <c r="AD307" s="140" t="s">
        <v>934</v>
      </c>
      <c r="AE307" s="140">
        <f>IF(AF307="expert",2,IF(AF307="prof",1,0))*AA289+VALUE(IF(AD307="Str",AA296,IF(AD307="Dex",AC296,IF(AD307="Con",AE296,IF(AD307="Int",AG296,IF(AD307="Wis",AI296,IF(AD307="Cha",AK296,"")))))))</f>
        <v>1</v>
      </c>
      <c r="AF307" s="145" t="s">
        <v>915</v>
      </c>
      <c r="AG307" s="199"/>
      <c r="AH307" s="186"/>
      <c r="AI307" s="137"/>
      <c r="AJ307" s="186"/>
      <c r="AK307" s="186"/>
      <c r="AL307" s="141"/>
    </row>
    <row r="308" spans="1:38" ht="17.25" thickBot="1" x14ac:dyDescent="0.35">
      <c r="A308" s="197" t="s">
        <v>915</v>
      </c>
      <c r="B308" s="198"/>
      <c r="C308" s="198"/>
      <c r="D308" s="144" t="s">
        <v>938</v>
      </c>
      <c r="E308" s="144">
        <f>IF(F308="expert",2,IF(F308="prof",1,0))*A289+VALUE(IF(D308="Str",A296,IF(D308="Dex",C296,IF(D308="Con",E296,IF(D308="Int",G296,IF(D308="Wis",I296,IF(D308="Cha",K296,"")))))))</f>
        <v>0</v>
      </c>
      <c r="F308" s="145" t="s">
        <v>915</v>
      </c>
      <c r="G308" s="199"/>
      <c r="H308" s="186"/>
      <c r="I308" s="137"/>
      <c r="J308" s="186"/>
      <c r="K308" s="186"/>
      <c r="L308" s="141"/>
      <c r="N308" s="197" t="s">
        <v>915</v>
      </c>
      <c r="O308" s="198"/>
      <c r="P308" s="198"/>
      <c r="Q308" s="144" t="s">
        <v>938</v>
      </c>
      <c r="R308" s="144">
        <f>IF(S308="expert",2,IF(S308="prof",1,0))*N289+VALUE(IF(Q308="Str",N296,IF(Q308="Dex",P296,IF(Q308="Con",R296,IF(Q308="Int",T296,IF(Q308="Wis",V296,IF(Q308="Cha",X296,"")))))))</f>
        <v>0</v>
      </c>
      <c r="S308" s="145" t="s">
        <v>915</v>
      </c>
      <c r="T308" s="199"/>
      <c r="U308" s="186"/>
      <c r="V308" s="137"/>
      <c r="W308" s="186"/>
      <c r="X308" s="186"/>
      <c r="Y308" s="141"/>
      <c r="AA308" s="197" t="s">
        <v>915</v>
      </c>
      <c r="AB308" s="198"/>
      <c r="AC308" s="198"/>
      <c r="AD308" s="144" t="s">
        <v>938</v>
      </c>
      <c r="AE308" s="144">
        <f>IF(AF308="expert",2,IF(AF308="prof",1,0))*AA289+VALUE(IF(AD308="Str",AA296,IF(AD308="Dex",AC296,IF(AD308="Con",AE296,IF(AD308="Int",AG296,IF(AD308="Wis",AI296,IF(AD308="Cha",AK296,"")))))))</f>
        <v>0</v>
      </c>
      <c r="AF308" s="145" t="s">
        <v>915</v>
      </c>
      <c r="AG308" s="199"/>
      <c r="AH308" s="186"/>
      <c r="AI308" s="137"/>
      <c r="AJ308" s="186"/>
      <c r="AK308" s="186"/>
      <c r="AL308" s="141"/>
    </row>
    <row r="309" spans="1:38" ht="17.25" thickBot="1" x14ac:dyDescent="0.35">
      <c r="A309" s="200" t="s">
        <v>939</v>
      </c>
      <c r="B309" s="201"/>
      <c r="C309" s="201"/>
      <c r="D309" s="202"/>
      <c r="E309" s="203" t="s">
        <v>940</v>
      </c>
      <c r="F309" s="204"/>
      <c r="G309" s="185"/>
      <c r="H309" s="186"/>
      <c r="I309" s="137"/>
      <c r="J309" s="186"/>
      <c r="K309" s="186"/>
      <c r="L309" s="141"/>
      <c r="N309" s="200" t="s">
        <v>939</v>
      </c>
      <c r="O309" s="201"/>
      <c r="P309" s="201"/>
      <c r="Q309" s="202"/>
      <c r="R309" s="203" t="s">
        <v>940</v>
      </c>
      <c r="S309" s="204"/>
      <c r="T309" s="185"/>
      <c r="U309" s="186"/>
      <c r="V309" s="137"/>
      <c r="W309" s="186"/>
      <c r="X309" s="186"/>
      <c r="Y309" s="141"/>
      <c r="AA309" s="200" t="s">
        <v>939</v>
      </c>
      <c r="AB309" s="201"/>
      <c r="AC309" s="201"/>
      <c r="AD309" s="202"/>
      <c r="AE309" s="203" t="s">
        <v>940</v>
      </c>
      <c r="AF309" s="204"/>
      <c r="AG309" s="185"/>
      <c r="AH309" s="186"/>
      <c r="AI309" s="137"/>
      <c r="AJ309" s="186"/>
      <c r="AK309" s="186"/>
      <c r="AL309" s="141"/>
    </row>
    <row r="310" spans="1:38" ht="16.5" x14ac:dyDescent="0.3">
      <c r="A310" s="190"/>
      <c r="B310" s="191"/>
      <c r="C310" s="191"/>
      <c r="D310" s="191"/>
      <c r="E310" s="186"/>
      <c r="F310" s="192"/>
      <c r="G310" s="185"/>
      <c r="H310" s="186"/>
      <c r="I310" s="137"/>
      <c r="J310" s="186"/>
      <c r="K310" s="186"/>
      <c r="L310" s="141"/>
      <c r="N310" s="190" t="s">
        <v>988</v>
      </c>
      <c r="O310" s="191"/>
      <c r="P310" s="191"/>
      <c r="Q310" s="191"/>
      <c r="R310" s="186"/>
      <c r="S310" s="192"/>
      <c r="T310" s="185"/>
      <c r="U310" s="186"/>
      <c r="V310" s="137"/>
      <c r="W310" s="186"/>
      <c r="X310" s="186"/>
      <c r="Y310" s="141"/>
      <c r="AA310" s="190" t="s">
        <v>988</v>
      </c>
      <c r="AB310" s="191"/>
      <c r="AC310" s="191"/>
      <c r="AD310" s="191"/>
      <c r="AE310" s="186"/>
      <c r="AF310" s="192"/>
      <c r="AG310" s="185"/>
      <c r="AH310" s="186"/>
      <c r="AI310" s="137"/>
      <c r="AJ310" s="186"/>
      <c r="AK310" s="186"/>
      <c r="AL310" s="141"/>
    </row>
    <row r="311" spans="1:38" ht="17.25" thickBot="1" x14ac:dyDescent="0.35">
      <c r="A311" s="193"/>
      <c r="B311" s="194"/>
      <c r="C311" s="194"/>
      <c r="D311" s="194"/>
      <c r="E311" s="194"/>
      <c r="F311" s="195"/>
      <c r="G311" s="196"/>
      <c r="H311" s="194"/>
      <c r="I311" s="146"/>
      <c r="J311" s="194"/>
      <c r="K311" s="194"/>
      <c r="L311" s="147"/>
      <c r="N311" s="193"/>
      <c r="O311" s="194"/>
      <c r="P311" s="194"/>
      <c r="Q311" s="194"/>
      <c r="R311" s="194"/>
      <c r="S311" s="195"/>
      <c r="T311" s="196"/>
      <c r="U311" s="194"/>
      <c r="V311" s="146"/>
      <c r="W311" s="194"/>
      <c r="X311" s="194"/>
      <c r="Y311" s="147"/>
      <c r="AA311" s="193"/>
      <c r="AB311" s="194"/>
      <c r="AC311" s="194"/>
      <c r="AD311" s="194"/>
      <c r="AE311" s="194"/>
      <c r="AF311" s="195"/>
      <c r="AG311" s="196"/>
      <c r="AH311" s="194"/>
      <c r="AI311" s="146"/>
      <c r="AJ311" s="194"/>
      <c r="AK311" s="194"/>
      <c r="AL311" s="147"/>
    </row>
    <row r="312" spans="1:38" ht="15.75" thickBot="1" x14ac:dyDescent="0.3">
      <c r="A312" s="177" t="s">
        <v>941</v>
      </c>
      <c r="B312" s="178"/>
      <c r="C312" s="178"/>
      <c r="D312" s="178"/>
      <c r="E312" s="178"/>
      <c r="F312" s="179"/>
      <c r="G312" s="180" t="s">
        <v>942</v>
      </c>
      <c r="H312" s="181"/>
      <c r="I312" s="181"/>
      <c r="J312" s="181"/>
      <c r="K312" s="181"/>
      <c r="L312" s="182"/>
      <c r="N312" s="177" t="s">
        <v>941</v>
      </c>
      <c r="O312" s="178"/>
      <c r="P312" s="178"/>
      <c r="Q312" s="178"/>
      <c r="R312" s="178"/>
      <c r="S312" s="179"/>
      <c r="T312" s="180" t="s">
        <v>942</v>
      </c>
      <c r="U312" s="181"/>
      <c r="V312" s="181"/>
      <c r="W312" s="181"/>
      <c r="X312" s="181"/>
      <c r="Y312" s="182"/>
      <c r="AA312" s="177" t="s">
        <v>941</v>
      </c>
      <c r="AB312" s="178"/>
      <c r="AC312" s="178"/>
      <c r="AD312" s="178"/>
      <c r="AE312" s="178"/>
      <c r="AF312" s="179"/>
      <c r="AG312" s="180" t="s">
        <v>942</v>
      </c>
      <c r="AH312" s="181"/>
      <c r="AI312" s="181"/>
      <c r="AJ312" s="181"/>
      <c r="AK312" s="181"/>
      <c r="AL312" s="182"/>
    </row>
    <row r="313" spans="1:38" x14ac:dyDescent="0.25">
      <c r="A313" s="183" t="s">
        <v>943</v>
      </c>
      <c r="B313" s="183"/>
      <c r="C313" s="148" t="s">
        <v>944</v>
      </c>
      <c r="D313" s="149" t="s">
        <v>945</v>
      </c>
      <c r="E313" s="149" t="s">
        <v>946</v>
      </c>
      <c r="F313" s="150" t="s">
        <v>947</v>
      </c>
      <c r="G313" s="168" t="s">
        <v>1149</v>
      </c>
      <c r="H313" s="169"/>
      <c r="I313" s="169"/>
      <c r="J313" s="169"/>
      <c r="K313" s="169"/>
      <c r="L313" s="170"/>
      <c r="N313" s="183" t="s">
        <v>943</v>
      </c>
      <c r="O313" s="183"/>
      <c r="P313" s="148" t="s">
        <v>944</v>
      </c>
      <c r="Q313" s="149" t="s">
        <v>945</v>
      </c>
      <c r="R313" s="149" t="s">
        <v>946</v>
      </c>
      <c r="S313" s="150" t="s">
        <v>947</v>
      </c>
      <c r="T313" s="168"/>
      <c r="U313" s="169"/>
      <c r="V313" s="169"/>
      <c r="W313" s="169"/>
      <c r="X313" s="169"/>
      <c r="Y313" s="170"/>
      <c r="AA313" s="183" t="s">
        <v>943</v>
      </c>
      <c r="AB313" s="183"/>
      <c r="AC313" s="148" t="s">
        <v>944</v>
      </c>
      <c r="AD313" s="149" t="s">
        <v>945</v>
      </c>
      <c r="AE313" s="149" t="s">
        <v>946</v>
      </c>
      <c r="AF313" s="150" t="s">
        <v>947</v>
      </c>
      <c r="AG313" s="168"/>
      <c r="AH313" s="169"/>
      <c r="AI313" s="169"/>
      <c r="AJ313" s="169"/>
      <c r="AK313" s="169"/>
      <c r="AL313" s="170"/>
    </row>
    <row r="314" spans="1:38" x14ac:dyDescent="0.25">
      <c r="A314" s="184" t="s">
        <v>971</v>
      </c>
      <c r="B314" s="185"/>
      <c r="C314" s="140">
        <v>2</v>
      </c>
      <c r="D314" s="1" t="s">
        <v>950</v>
      </c>
      <c r="E314" s="151">
        <v>4</v>
      </c>
      <c r="F314" s="65" t="s">
        <v>1150</v>
      </c>
      <c r="G314" s="171"/>
      <c r="H314" s="172"/>
      <c r="I314" s="172"/>
      <c r="J314" s="172"/>
      <c r="K314" s="172"/>
      <c r="L314" s="173"/>
      <c r="N314" s="184" t="s">
        <v>1156</v>
      </c>
      <c r="O314" s="185"/>
      <c r="P314" s="140">
        <v>2</v>
      </c>
      <c r="Q314" s="1" t="s">
        <v>950</v>
      </c>
      <c r="R314" s="151">
        <v>5</v>
      </c>
      <c r="S314" s="65" t="s">
        <v>997</v>
      </c>
      <c r="T314" s="171"/>
      <c r="U314" s="172"/>
      <c r="V314" s="172"/>
      <c r="W314" s="172"/>
      <c r="X314" s="172"/>
      <c r="Y314" s="173"/>
      <c r="AA314" s="184" t="s">
        <v>1156</v>
      </c>
      <c r="AB314" s="185"/>
      <c r="AC314" s="140">
        <v>1</v>
      </c>
      <c r="AD314" s="1" t="s">
        <v>950</v>
      </c>
      <c r="AE314" s="151">
        <v>3</v>
      </c>
      <c r="AF314" s="65" t="s">
        <v>958</v>
      </c>
      <c r="AG314" s="171"/>
      <c r="AH314" s="172"/>
      <c r="AI314" s="172"/>
      <c r="AJ314" s="172"/>
      <c r="AK314" s="172"/>
      <c r="AL314" s="173"/>
    </row>
    <row r="315" spans="1:38" x14ac:dyDescent="0.25">
      <c r="A315" s="186" t="s">
        <v>1151</v>
      </c>
      <c r="B315" s="186"/>
      <c r="C315" s="140">
        <v>1</v>
      </c>
      <c r="D315" s="1" t="s">
        <v>973</v>
      </c>
      <c r="E315" s="151">
        <v>4</v>
      </c>
      <c r="F315" s="65" t="s">
        <v>1141</v>
      </c>
      <c r="G315" s="171"/>
      <c r="H315" s="172"/>
      <c r="I315" s="172"/>
      <c r="J315" s="172"/>
      <c r="K315" s="172"/>
      <c r="L315" s="173"/>
      <c r="N315" s="186" t="s">
        <v>992</v>
      </c>
      <c r="O315" s="186"/>
      <c r="P315" s="140">
        <v>1</v>
      </c>
      <c r="Q315" s="1" t="s">
        <v>973</v>
      </c>
      <c r="R315" s="151">
        <v>5</v>
      </c>
      <c r="S315" s="65" t="s">
        <v>993</v>
      </c>
      <c r="T315" s="171"/>
      <c r="U315" s="172"/>
      <c r="V315" s="172"/>
      <c r="W315" s="172"/>
      <c r="X315" s="172"/>
      <c r="Y315" s="173"/>
      <c r="AA315" s="186" t="s">
        <v>1160</v>
      </c>
      <c r="AB315" s="186"/>
      <c r="AC315" s="140">
        <v>1</v>
      </c>
      <c r="AD315" s="1" t="s">
        <v>975</v>
      </c>
      <c r="AE315" s="151">
        <v>3</v>
      </c>
      <c r="AF315" s="65" t="s">
        <v>958</v>
      </c>
      <c r="AG315" s="171"/>
      <c r="AH315" s="172"/>
      <c r="AI315" s="172"/>
      <c r="AJ315" s="172"/>
      <c r="AK315" s="172"/>
      <c r="AL315" s="173"/>
    </row>
    <row r="316" spans="1:38" x14ac:dyDescent="0.25">
      <c r="A316" s="186"/>
      <c r="B316" s="186"/>
      <c r="C316" s="140"/>
      <c r="D316" s="1" t="s">
        <v>973</v>
      </c>
      <c r="E316" s="151"/>
      <c r="F316" s="65"/>
      <c r="G316" s="171"/>
      <c r="H316" s="172"/>
      <c r="I316" s="172"/>
      <c r="J316" s="172"/>
      <c r="K316" s="172"/>
      <c r="L316" s="173"/>
      <c r="N316" s="186"/>
      <c r="O316" s="186"/>
      <c r="P316" s="140"/>
      <c r="Q316" s="1" t="s">
        <v>973</v>
      </c>
      <c r="R316" s="151"/>
      <c r="S316" s="65"/>
      <c r="T316" s="171"/>
      <c r="U316" s="172"/>
      <c r="V316" s="172"/>
      <c r="W316" s="172"/>
      <c r="X316" s="172"/>
      <c r="Y316" s="173"/>
      <c r="AA316" s="186"/>
      <c r="AB316" s="186"/>
      <c r="AC316" s="140"/>
      <c r="AD316" s="1" t="s">
        <v>973</v>
      </c>
      <c r="AE316" s="151"/>
      <c r="AF316" s="65"/>
      <c r="AG316" s="171"/>
      <c r="AH316" s="172"/>
      <c r="AI316" s="172"/>
      <c r="AJ316" s="172"/>
      <c r="AK316" s="172"/>
      <c r="AL316" s="173"/>
    </row>
    <row r="317" spans="1:38" ht="16.5" x14ac:dyDescent="0.3">
      <c r="A317" s="187" t="s">
        <v>959</v>
      </c>
      <c r="B317" s="187"/>
      <c r="C317" s="187"/>
      <c r="D317" s="188" t="s">
        <v>915</v>
      </c>
      <c r="E317" s="189"/>
      <c r="F317" s="189"/>
      <c r="G317" s="171"/>
      <c r="H317" s="172"/>
      <c r="I317" s="172"/>
      <c r="J317" s="172"/>
      <c r="K317" s="172"/>
      <c r="L317" s="173"/>
      <c r="N317" s="187" t="s">
        <v>959</v>
      </c>
      <c r="O317" s="187"/>
      <c r="P317" s="187"/>
      <c r="Q317" s="188" t="s">
        <v>915</v>
      </c>
      <c r="R317" s="189"/>
      <c r="S317" s="189"/>
      <c r="T317" s="171"/>
      <c r="U317" s="172"/>
      <c r="V317" s="172"/>
      <c r="W317" s="172"/>
      <c r="X317" s="172"/>
      <c r="Y317" s="173"/>
      <c r="AA317" s="187" t="s">
        <v>959</v>
      </c>
      <c r="AB317" s="187"/>
      <c r="AC317" s="187"/>
      <c r="AD317" s="188" t="s">
        <v>915</v>
      </c>
      <c r="AE317" s="189"/>
      <c r="AF317" s="189"/>
      <c r="AG317" s="171"/>
      <c r="AH317" s="172"/>
      <c r="AI317" s="172"/>
      <c r="AJ317" s="172"/>
      <c r="AK317" s="172"/>
      <c r="AL317" s="173"/>
    </row>
    <row r="318" spans="1:38" ht="15.75" thickBot="1" x14ac:dyDescent="0.3">
      <c r="A318" s="167" t="s">
        <v>960</v>
      </c>
      <c r="B318" s="167"/>
      <c r="C318" s="144">
        <f>A289+IF(D317="Int",G296,IF(D317="Wis",I296,IF(D317="Cha",K296,0)))</f>
        <v>2</v>
      </c>
      <c r="D318" s="167" t="s">
        <v>961</v>
      </c>
      <c r="E318" s="167"/>
      <c r="F318" s="152">
        <f>8+A289+IF(D317="Int",G296,IF(D317="Wis",I296,IF(D317="Cha",K296,0)))</f>
        <v>10</v>
      </c>
      <c r="G318" s="171"/>
      <c r="H318" s="172"/>
      <c r="I318" s="172"/>
      <c r="J318" s="172"/>
      <c r="K318" s="172"/>
      <c r="L318" s="173"/>
      <c r="N318" s="167" t="s">
        <v>960</v>
      </c>
      <c r="O318" s="167"/>
      <c r="P318" s="144">
        <f>N289+IF(Q317="Int",T296,IF(Q317="Wis",V296,IF(Q317="Cha",X296,0)))</f>
        <v>2</v>
      </c>
      <c r="Q318" s="167" t="s">
        <v>961</v>
      </c>
      <c r="R318" s="167"/>
      <c r="S318" s="152">
        <f>8+N289+IF(Q317="Int",T296,IF(Q317="Wis",V296,IF(Q317="Cha",X296,0)))</f>
        <v>10</v>
      </c>
      <c r="T318" s="171"/>
      <c r="U318" s="172"/>
      <c r="V318" s="172"/>
      <c r="W318" s="172"/>
      <c r="X318" s="172"/>
      <c r="Y318" s="173"/>
      <c r="AA318" s="167" t="s">
        <v>960</v>
      </c>
      <c r="AB318" s="167"/>
      <c r="AC318" s="144">
        <f>AA289+IF(AD317="Int",AG296,IF(AD317="Wis",AI296,IF(AD317="Cha",AK296,0)))</f>
        <v>2</v>
      </c>
      <c r="AD318" s="167" t="s">
        <v>961</v>
      </c>
      <c r="AE318" s="167"/>
      <c r="AF318" s="152">
        <f>8+AA289+IF(AD317="Int",AG296,IF(AD317="Wis",AI296,IF(AD317="Cha",AK296,0)))</f>
        <v>10</v>
      </c>
      <c r="AG318" s="171"/>
      <c r="AH318" s="172"/>
      <c r="AI318" s="172"/>
      <c r="AJ318" s="172"/>
      <c r="AK318" s="172"/>
      <c r="AL318" s="173"/>
    </row>
    <row r="319" spans="1:38" x14ac:dyDescent="0.25">
      <c r="A319" s="168" t="s">
        <v>1152</v>
      </c>
      <c r="B319" s="169"/>
      <c r="C319" s="169"/>
      <c r="D319" s="169"/>
      <c r="E319" s="169"/>
      <c r="F319" s="170"/>
      <c r="G319" s="171"/>
      <c r="H319" s="172"/>
      <c r="I319" s="172"/>
      <c r="J319" s="172"/>
      <c r="K319" s="172"/>
      <c r="L319" s="173"/>
      <c r="N319" s="168" t="s">
        <v>1157</v>
      </c>
      <c r="O319" s="169"/>
      <c r="P319" s="169"/>
      <c r="Q319" s="169"/>
      <c r="R319" s="169"/>
      <c r="S319" s="170"/>
      <c r="T319" s="171"/>
      <c r="U319" s="172"/>
      <c r="V319" s="172"/>
      <c r="W319" s="172"/>
      <c r="X319" s="172"/>
      <c r="Y319" s="173"/>
      <c r="AA319" s="168" t="s">
        <v>1159</v>
      </c>
      <c r="AB319" s="169"/>
      <c r="AC319" s="169"/>
      <c r="AD319" s="169"/>
      <c r="AE319" s="169"/>
      <c r="AF319" s="170"/>
      <c r="AG319" s="171"/>
      <c r="AH319" s="172"/>
      <c r="AI319" s="172"/>
      <c r="AJ319" s="172"/>
      <c r="AK319" s="172"/>
      <c r="AL319" s="173"/>
    </row>
    <row r="320" spans="1:38" x14ac:dyDescent="0.25">
      <c r="A320" s="171"/>
      <c r="B320" s="172"/>
      <c r="C320" s="172"/>
      <c r="D320" s="172"/>
      <c r="E320" s="172"/>
      <c r="F320" s="173"/>
      <c r="G320" s="171"/>
      <c r="H320" s="172"/>
      <c r="I320" s="172"/>
      <c r="J320" s="172"/>
      <c r="K320" s="172"/>
      <c r="L320" s="173"/>
      <c r="N320" s="171"/>
      <c r="O320" s="172"/>
      <c r="P320" s="172"/>
      <c r="Q320" s="172"/>
      <c r="R320" s="172"/>
      <c r="S320" s="173"/>
      <c r="T320" s="171"/>
      <c r="U320" s="172"/>
      <c r="V320" s="172"/>
      <c r="W320" s="172"/>
      <c r="X320" s="172"/>
      <c r="Y320" s="173"/>
      <c r="AA320" s="171"/>
      <c r="AB320" s="172"/>
      <c r="AC320" s="172"/>
      <c r="AD320" s="172"/>
      <c r="AE320" s="172"/>
      <c r="AF320" s="173"/>
      <c r="AG320" s="171"/>
      <c r="AH320" s="172"/>
      <c r="AI320" s="172"/>
      <c r="AJ320" s="172"/>
      <c r="AK320" s="172"/>
      <c r="AL320" s="173"/>
    </row>
    <row r="321" spans="1:38" x14ac:dyDescent="0.25">
      <c r="A321" s="171"/>
      <c r="B321" s="172"/>
      <c r="C321" s="172"/>
      <c r="D321" s="172"/>
      <c r="E321" s="172"/>
      <c r="F321" s="173"/>
      <c r="G321" s="171"/>
      <c r="H321" s="172"/>
      <c r="I321" s="172"/>
      <c r="J321" s="172"/>
      <c r="K321" s="172"/>
      <c r="L321" s="173"/>
      <c r="N321" s="171"/>
      <c r="O321" s="172"/>
      <c r="P321" s="172"/>
      <c r="Q321" s="172"/>
      <c r="R321" s="172"/>
      <c r="S321" s="173"/>
      <c r="T321" s="171"/>
      <c r="U321" s="172"/>
      <c r="V321" s="172"/>
      <c r="W321" s="172"/>
      <c r="X321" s="172"/>
      <c r="Y321" s="173"/>
      <c r="AA321" s="171"/>
      <c r="AB321" s="172"/>
      <c r="AC321" s="172"/>
      <c r="AD321" s="172"/>
      <c r="AE321" s="172"/>
      <c r="AF321" s="173"/>
      <c r="AG321" s="171"/>
      <c r="AH321" s="172"/>
      <c r="AI321" s="172"/>
      <c r="AJ321" s="172"/>
      <c r="AK321" s="172"/>
      <c r="AL321" s="173"/>
    </row>
    <row r="322" spans="1:38" x14ac:dyDescent="0.25">
      <c r="A322" s="171"/>
      <c r="B322" s="172"/>
      <c r="C322" s="172"/>
      <c r="D322" s="172"/>
      <c r="E322" s="172"/>
      <c r="F322" s="173"/>
      <c r="G322" s="171"/>
      <c r="H322" s="172"/>
      <c r="I322" s="172"/>
      <c r="J322" s="172"/>
      <c r="K322" s="172"/>
      <c r="L322" s="173"/>
      <c r="N322" s="171"/>
      <c r="O322" s="172"/>
      <c r="P322" s="172"/>
      <c r="Q322" s="172"/>
      <c r="R322" s="172"/>
      <c r="S322" s="173"/>
      <c r="T322" s="171"/>
      <c r="U322" s="172"/>
      <c r="V322" s="172"/>
      <c r="W322" s="172"/>
      <c r="X322" s="172"/>
      <c r="Y322" s="173"/>
      <c r="AA322" s="171"/>
      <c r="AB322" s="172"/>
      <c r="AC322" s="172"/>
      <c r="AD322" s="172"/>
      <c r="AE322" s="172"/>
      <c r="AF322" s="173"/>
      <c r="AG322" s="171"/>
      <c r="AH322" s="172"/>
      <c r="AI322" s="172"/>
      <c r="AJ322" s="172"/>
      <c r="AK322" s="172"/>
      <c r="AL322" s="173"/>
    </row>
    <row r="323" spans="1:38" x14ac:dyDescent="0.25">
      <c r="A323" s="171"/>
      <c r="B323" s="172"/>
      <c r="C323" s="172"/>
      <c r="D323" s="172"/>
      <c r="E323" s="172"/>
      <c r="F323" s="173"/>
      <c r="G323" s="171"/>
      <c r="H323" s="172"/>
      <c r="I323" s="172"/>
      <c r="J323" s="172"/>
      <c r="K323" s="172"/>
      <c r="L323" s="173"/>
      <c r="N323" s="171"/>
      <c r="O323" s="172"/>
      <c r="P323" s="172"/>
      <c r="Q323" s="172"/>
      <c r="R323" s="172"/>
      <c r="S323" s="173"/>
      <c r="T323" s="171"/>
      <c r="U323" s="172"/>
      <c r="V323" s="172"/>
      <c r="W323" s="172"/>
      <c r="X323" s="172"/>
      <c r="Y323" s="173"/>
      <c r="AA323" s="171"/>
      <c r="AB323" s="172"/>
      <c r="AC323" s="172"/>
      <c r="AD323" s="172"/>
      <c r="AE323" s="172"/>
      <c r="AF323" s="173"/>
      <c r="AG323" s="171"/>
      <c r="AH323" s="172"/>
      <c r="AI323" s="172"/>
      <c r="AJ323" s="172"/>
      <c r="AK323" s="172"/>
      <c r="AL323" s="173"/>
    </row>
    <row r="324" spans="1:38" x14ac:dyDescent="0.25">
      <c r="A324" s="171"/>
      <c r="B324" s="172"/>
      <c r="C324" s="172"/>
      <c r="D324" s="172"/>
      <c r="E324" s="172"/>
      <c r="F324" s="173"/>
      <c r="G324" s="171"/>
      <c r="H324" s="172"/>
      <c r="I324" s="172"/>
      <c r="J324" s="172"/>
      <c r="K324" s="172"/>
      <c r="L324" s="173"/>
      <c r="N324" s="171"/>
      <c r="O324" s="172"/>
      <c r="P324" s="172"/>
      <c r="Q324" s="172"/>
      <c r="R324" s="172"/>
      <c r="S324" s="173"/>
      <c r="T324" s="171"/>
      <c r="U324" s="172"/>
      <c r="V324" s="172"/>
      <c r="W324" s="172"/>
      <c r="X324" s="172"/>
      <c r="Y324" s="173"/>
      <c r="AA324" s="171"/>
      <c r="AB324" s="172"/>
      <c r="AC324" s="172"/>
      <c r="AD324" s="172"/>
      <c r="AE324" s="172"/>
      <c r="AF324" s="173"/>
      <c r="AG324" s="171"/>
      <c r="AH324" s="172"/>
      <c r="AI324" s="172"/>
      <c r="AJ324" s="172"/>
      <c r="AK324" s="172"/>
      <c r="AL324" s="173"/>
    </row>
    <row r="325" spans="1:38" x14ac:dyDescent="0.25">
      <c r="A325" s="171"/>
      <c r="B325" s="172"/>
      <c r="C325" s="172"/>
      <c r="D325" s="172"/>
      <c r="E325" s="172"/>
      <c r="F325" s="173"/>
      <c r="G325" s="171"/>
      <c r="H325" s="172"/>
      <c r="I325" s="172"/>
      <c r="J325" s="172"/>
      <c r="K325" s="172"/>
      <c r="L325" s="173"/>
      <c r="N325" s="171"/>
      <c r="O325" s="172"/>
      <c r="P325" s="172"/>
      <c r="Q325" s="172"/>
      <c r="R325" s="172"/>
      <c r="S325" s="173"/>
      <c r="T325" s="171"/>
      <c r="U325" s="172"/>
      <c r="V325" s="172"/>
      <c r="W325" s="172"/>
      <c r="X325" s="172"/>
      <c r="Y325" s="173"/>
      <c r="AA325" s="171"/>
      <c r="AB325" s="172"/>
      <c r="AC325" s="172"/>
      <c r="AD325" s="172"/>
      <c r="AE325" s="172"/>
      <c r="AF325" s="173"/>
      <c r="AG325" s="171"/>
      <c r="AH325" s="172"/>
      <c r="AI325" s="172"/>
      <c r="AJ325" s="172"/>
      <c r="AK325" s="172"/>
      <c r="AL325" s="173"/>
    </row>
    <row r="326" spans="1:38" x14ac:dyDescent="0.25">
      <c r="A326" s="171"/>
      <c r="B326" s="172"/>
      <c r="C326" s="172"/>
      <c r="D326" s="172"/>
      <c r="E326" s="172"/>
      <c r="F326" s="173"/>
      <c r="G326" s="171"/>
      <c r="H326" s="172"/>
      <c r="I326" s="172"/>
      <c r="J326" s="172"/>
      <c r="K326" s="172"/>
      <c r="L326" s="173"/>
      <c r="N326" s="171"/>
      <c r="O326" s="172"/>
      <c r="P326" s="172"/>
      <c r="Q326" s="172"/>
      <c r="R326" s="172"/>
      <c r="S326" s="173"/>
      <c r="T326" s="171"/>
      <c r="U326" s="172"/>
      <c r="V326" s="172"/>
      <c r="W326" s="172"/>
      <c r="X326" s="172"/>
      <c r="Y326" s="173"/>
      <c r="AA326" s="171"/>
      <c r="AB326" s="172"/>
      <c r="AC326" s="172"/>
      <c r="AD326" s="172"/>
      <c r="AE326" s="172"/>
      <c r="AF326" s="173"/>
      <c r="AG326" s="171"/>
      <c r="AH326" s="172"/>
      <c r="AI326" s="172"/>
      <c r="AJ326" s="172"/>
      <c r="AK326" s="172"/>
      <c r="AL326" s="173"/>
    </row>
    <row r="327" spans="1:38" ht="15.75" thickBot="1" x14ac:dyDescent="0.3">
      <c r="A327" s="174"/>
      <c r="B327" s="175"/>
      <c r="C327" s="175"/>
      <c r="D327" s="175"/>
      <c r="E327" s="175"/>
      <c r="F327" s="176"/>
      <c r="G327" s="174"/>
      <c r="H327" s="175"/>
      <c r="I327" s="175"/>
      <c r="J327" s="175"/>
      <c r="K327" s="175"/>
      <c r="L327" s="176"/>
      <c r="N327" s="174"/>
      <c r="O327" s="175"/>
      <c r="P327" s="175"/>
      <c r="Q327" s="175"/>
      <c r="R327" s="175"/>
      <c r="S327" s="176"/>
      <c r="T327" s="174"/>
      <c r="U327" s="175"/>
      <c r="V327" s="175"/>
      <c r="W327" s="175"/>
      <c r="X327" s="175"/>
      <c r="Y327" s="176"/>
      <c r="AA327" s="174"/>
      <c r="AB327" s="175"/>
      <c r="AC327" s="175"/>
      <c r="AD327" s="175"/>
      <c r="AE327" s="175"/>
      <c r="AF327" s="176"/>
      <c r="AG327" s="174"/>
      <c r="AH327" s="175"/>
      <c r="AI327" s="175"/>
      <c r="AJ327" s="175"/>
      <c r="AK327" s="175"/>
      <c r="AL327" s="176"/>
    </row>
    <row r="329" spans="1:38" ht="17.25" x14ac:dyDescent="0.25">
      <c r="A329" s="127">
        <v>25</v>
      </c>
      <c r="B329" s="236" t="s">
        <v>1166</v>
      </c>
      <c r="C329" s="236"/>
      <c r="D329" s="236"/>
      <c r="E329" s="236"/>
      <c r="F329" s="236"/>
      <c r="G329" s="236"/>
      <c r="H329" s="236"/>
      <c r="I329" s="236"/>
      <c r="J329" s="236"/>
      <c r="K329" s="236"/>
      <c r="L329" s="236"/>
      <c r="N329" s="127">
        <v>26</v>
      </c>
      <c r="O329" s="236" t="s">
        <v>1174</v>
      </c>
      <c r="P329" s="236"/>
      <c r="Q329" s="236"/>
      <c r="R329" s="236"/>
      <c r="S329" s="236"/>
      <c r="T329" s="236"/>
      <c r="U329" s="236"/>
      <c r="V329" s="236"/>
      <c r="W329" s="236"/>
      <c r="X329" s="236"/>
      <c r="Y329" s="236"/>
    </row>
    <row r="330" spans="1:38" ht="21" x14ac:dyDescent="0.25">
      <c r="A330" s="128">
        <v>2</v>
      </c>
      <c r="B330" s="236"/>
      <c r="C330" s="236"/>
      <c r="D330" s="236"/>
      <c r="E330" s="236"/>
      <c r="F330" s="236"/>
      <c r="G330" s="236"/>
      <c r="H330" s="236"/>
      <c r="I330" s="236"/>
      <c r="J330" s="236"/>
      <c r="K330" s="236"/>
      <c r="L330" s="236"/>
      <c r="N330" s="128">
        <v>2</v>
      </c>
      <c r="O330" s="236"/>
      <c r="P330" s="236"/>
      <c r="Q330" s="236"/>
      <c r="R330" s="236"/>
      <c r="S330" s="236"/>
      <c r="T330" s="236"/>
      <c r="U330" s="236"/>
      <c r="V330" s="236"/>
      <c r="W330" s="236"/>
      <c r="X330" s="236"/>
      <c r="Y330" s="236"/>
    </row>
    <row r="331" spans="1:38" ht="16.5" x14ac:dyDescent="0.3">
      <c r="A331" s="237" t="s">
        <v>37</v>
      </c>
      <c r="B331" s="237"/>
      <c r="C331" s="237" t="s">
        <v>18</v>
      </c>
      <c r="D331" s="237"/>
      <c r="E331" s="237" t="s">
        <v>982</v>
      </c>
      <c r="F331" s="237"/>
      <c r="G331" s="238" t="s">
        <v>909</v>
      </c>
      <c r="H331" s="239">
        <v>16</v>
      </c>
      <c r="I331" s="229" t="s">
        <v>1158</v>
      </c>
      <c r="J331" s="230"/>
      <c r="K331" s="230"/>
      <c r="L331" s="231"/>
      <c r="N331" s="237" t="s">
        <v>37</v>
      </c>
      <c r="O331" s="237"/>
      <c r="P331" s="237" t="s">
        <v>18</v>
      </c>
      <c r="Q331" s="237"/>
      <c r="R331" s="237" t="s">
        <v>982</v>
      </c>
      <c r="S331" s="237"/>
      <c r="T331" s="238" t="s">
        <v>909</v>
      </c>
      <c r="U331" s="239">
        <v>15</v>
      </c>
      <c r="V331" s="229" t="s">
        <v>1158</v>
      </c>
      <c r="W331" s="230"/>
      <c r="X331" s="230"/>
      <c r="Y331" s="231"/>
    </row>
    <row r="332" spans="1:38" x14ac:dyDescent="0.25">
      <c r="A332" s="228" t="s">
        <v>2</v>
      </c>
      <c r="B332" s="228"/>
      <c r="C332" s="228" t="s">
        <v>912</v>
      </c>
      <c r="D332" s="228"/>
      <c r="E332" s="228" t="s">
        <v>913</v>
      </c>
      <c r="F332" s="228"/>
      <c r="G332" s="238"/>
      <c r="H332" s="239"/>
      <c r="I332" s="229" t="s">
        <v>1046</v>
      </c>
      <c r="J332" s="230"/>
      <c r="K332" s="230"/>
      <c r="L332" s="231"/>
      <c r="N332" s="228" t="s">
        <v>2</v>
      </c>
      <c r="O332" s="228"/>
      <c r="P332" s="228" t="s">
        <v>912</v>
      </c>
      <c r="Q332" s="228"/>
      <c r="R332" s="228" t="s">
        <v>913</v>
      </c>
      <c r="S332" s="228"/>
      <c r="T332" s="238"/>
      <c r="U332" s="239"/>
      <c r="V332" s="229" t="s">
        <v>1046</v>
      </c>
      <c r="W332" s="230"/>
      <c r="X332" s="230"/>
      <c r="Y332" s="231"/>
    </row>
    <row r="333" spans="1:38" x14ac:dyDescent="0.25">
      <c r="A333" s="232">
        <f>C337</f>
        <v>2</v>
      </c>
      <c r="B333" s="232"/>
      <c r="C333" s="233">
        <v>30</v>
      </c>
      <c r="D333" s="233"/>
      <c r="E333" s="233"/>
      <c r="F333" s="233"/>
      <c r="G333" s="235">
        <v>9</v>
      </c>
      <c r="H333" s="235" t="str">
        <f>IF(C331="Tiny","d4",IF(C331="Small","d6",IF(C331="Medium","d8",IF(C331="Large","d10",IF(C331="Huge","d12",IF(C331="Gargantuan","d20",""))))))</f>
        <v>d8</v>
      </c>
      <c r="I333" s="223">
        <f>IFERROR(G333*E337,0)</f>
        <v>18</v>
      </c>
      <c r="J333" s="224">
        <f>ROUNDDOWN((0.5*(1+VALUE(RIGHT(H333,LEN(H333)-1)))+IF(E337="",0,E337))*G333,0)</f>
        <v>58</v>
      </c>
      <c r="K333" s="224"/>
      <c r="L333" s="225">
        <v>3</v>
      </c>
      <c r="N333" s="232">
        <f>P337</f>
        <v>3</v>
      </c>
      <c r="O333" s="232"/>
      <c r="P333" s="233">
        <v>30</v>
      </c>
      <c r="Q333" s="233"/>
      <c r="R333" s="233"/>
      <c r="S333" s="233"/>
      <c r="T333" s="235">
        <v>12</v>
      </c>
      <c r="U333" s="235" t="str">
        <f>IF(P331="Tiny","d4",IF(P331="Small","d6",IF(P331="Medium","d8",IF(P331="Large","d10",IF(P331="Huge","d12",IF(P331="Gargantuan","d20",""))))))</f>
        <v>d8</v>
      </c>
      <c r="V333" s="223">
        <f>IFERROR(T333*R337,0)</f>
        <v>36</v>
      </c>
      <c r="W333" s="224">
        <f>ROUNDDOWN((0.5*(1+VALUE(RIGHT(U333,LEN(U333)-1)))+IF(R337="",0,R337))*T333,0)</f>
        <v>90</v>
      </c>
      <c r="X333" s="224"/>
      <c r="Y333" s="225">
        <v>9</v>
      </c>
    </row>
    <row r="334" spans="1:38" x14ac:dyDescent="0.25">
      <c r="A334" s="232"/>
      <c r="B334" s="232"/>
      <c r="C334" s="234"/>
      <c r="D334" s="234"/>
      <c r="E334" s="234"/>
      <c r="F334" s="234"/>
      <c r="G334" s="235"/>
      <c r="H334" s="235"/>
      <c r="I334" s="223"/>
      <c r="J334" s="224"/>
      <c r="K334" s="224"/>
      <c r="L334" s="225"/>
      <c r="N334" s="232"/>
      <c r="O334" s="232"/>
      <c r="P334" s="234"/>
      <c r="Q334" s="234"/>
      <c r="R334" s="234"/>
      <c r="S334" s="234"/>
      <c r="T334" s="235"/>
      <c r="U334" s="235"/>
      <c r="V334" s="223"/>
      <c r="W334" s="224"/>
      <c r="X334" s="224"/>
      <c r="Y334" s="225"/>
    </row>
    <row r="335" spans="1:38" ht="15.75" thickBot="1" x14ac:dyDescent="0.3">
      <c r="A335" s="226" t="str">
        <f>"Base Init:"&amp;C337</f>
        <v>Base Init:2</v>
      </c>
      <c r="B335" s="226"/>
      <c r="C335" s="129" t="s">
        <v>914</v>
      </c>
      <c r="D335" s="129" t="s">
        <v>915</v>
      </c>
      <c r="E335" s="129" t="s">
        <v>915</v>
      </c>
      <c r="F335" s="129" t="s">
        <v>915</v>
      </c>
      <c r="G335" s="226" t="s">
        <v>916</v>
      </c>
      <c r="H335" s="226"/>
      <c r="I335" s="226"/>
      <c r="J335" s="226"/>
      <c r="K335" s="226"/>
      <c r="L335" s="129" t="s">
        <v>11</v>
      </c>
      <c r="N335" s="226" t="str">
        <f>"Base Init:"&amp;P337</f>
        <v>Base Init:3</v>
      </c>
      <c r="O335" s="226"/>
      <c r="P335" s="129" t="s">
        <v>914</v>
      </c>
      <c r="Q335" s="129" t="s">
        <v>915</v>
      </c>
      <c r="R335" s="129" t="s">
        <v>915</v>
      </c>
      <c r="S335" s="129" t="s">
        <v>915</v>
      </c>
      <c r="T335" s="226" t="s">
        <v>916</v>
      </c>
      <c r="U335" s="226"/>
      <c r="V335" s="226"/>
      <c r="W335" s="226"/>
      <c r="X335" s="226"/>
      <c r="Y335" s="129" t="s">
        <v>11</v>
      </c>
    </row>
    <row r="336" spans="1:38" ht="17.25" x14ac:dyDescent="0.25">
      <c r="A336" s="227">
        <v>18</v>
      </c>
      <c r="B336" s="219"/>
      <c r="C336" s="218">
        <v>14</v>
      </c>
      <c r="D336" s="219"/>
      <c r="E336" s="218">
        <v>14</v>
      </c>
      <c r="F336" s="219"/>
      <c r="G336" s="218">
        <v>16</v>
      </c>
      <c r="H336" s="219"/>
      <c r="I336" s="218">
        <v>10</v>
      </c>
      <c r="J336" s="219"/>
      <c r="K336" s="218">
        <v>8</v>
      </c>
      <c r="L336" s="219"/>
      <c r="N336" s="227">
        <v>18</v>
      </c>
      <c r="O336" s="219"/>
      <c r="P336" s="218">
        <v>17</v>
      </c>
      <c r="Q336" s="219"/>
      <c r="R336" s="218">
        <v>16</v>
      </c>
      <c r="S336" s="219"/>
      <c r="T336" s="218">
        <v>15</v>
      </c>
      <c r="U336" s="219"/>
      <c r="V336" s="218">
        <v>12</v>
      </c>
      <c r="W336" s="219"/>
      <c r="X336" s="218">
        <v>14</v>
      </c>
      <c r="Y336" s="219"/>
    </row>
    <row r="337" spans="1:25" x14ac:dyDescent="0.25">
      <c r="A337" s="220">
        <f>IF(A336=0,"",IF(A336&gt;10,ROUNDDOWN((A336-10)/2,0),ROUNDUP((A336-10)/2,0)))</f>
        <v>4</v>
      </c>
      <c r="B337" s="221"/>
      <c r="C337" s="222">
        <f>IF(C336=0,"",IF(C336&gt;10,ROUNDDOWN((C336-10)/2,0),ROUNDUP((C336-10)/2,0)))</f>
        <v>2</v>
      </c>
      <c r="D337" s="221"/>
      <c r="E337" s="222">
        <f>IF(E336=0,"",IF(E336&gt;10,ROUNDDOWN((E336-10)/2,0),ROUNDUP((E336-10)/2,0)))</f>
        <v>2</v>
      </c>
      <c r="F337" s="221"/>
      <c r="G337" s="222">
        <f>IF(G336=0,"",IF(G336&gt;10,ROUNDDOWN((G336-10)/2,0),ROUNDUP((G336-10)/2,0)))</f>
        <v>3</v>
      </c>
      <c r="H337" s="221"/>
      <c r="I337" s="222">
        <f>IF(I336=0,"",IF(I336&gt;10,ROUNDDOWN((I336-10)/2,0),ROUNDUP((I336-10)/2,0)))</f>
        <v>0</v>
      </c>
      <c r="J337" s="221"/>
      <c r="K337" s="222">
        <f>IF(K336=0,"",IF(K336&gt;10,ROUNDDOWN((K336-10)/2,0),ROUNDUP((K336-10)/2,0)))</f>
        <v>-1</v>
      </c>
      <c r="L337" s="221"/>
      <c r="N337" s="220">
        <f>IF(N336=0,"",IF(N336&gt;10,ROUNDDOWN((N336-10)/2,0),ROUNDUP((N336-10)/2,0)))</f>
        <v>4</v>
      </c>
      <c r="O337" s="221"/>
      <c r="P337" s="222">
        <f>IF(P336=0,"",IF(P336&gt;10,ROUNDDOWN((P336-10)/2,0),ROUNDUP((P336-10)/2,0)))</f>
        <v>3</v>
      </c>
      <c r="Q337" s="221"/>
      <c r="R337" s="222">
        <f>IF(R336=0,"",IF(R336&gt;10,ROUNDDOWN((R336-10)/2,0),ROUNDUP((R336-10)/2,0)))</f>
        <v>3</v>
      </c>
      <c r="S337" s="221"/>
      <c r="T337" s="222">
        <f>IF(T336=0,"",IF(T336&gt;10,ROUNDDOWN((T336-10)/2,0),ROUNDUP((T336-10)/2,0)))</f>
        <v>2</v>
      </c>
      <c r="U337" s="221"/>
      <c r="V337" s="222">
        <f>IF(V336=0,"",IF(V336&gt;10,ROUNDDOWN((V336-10)/2,0),ROUNDUP((V336-10)/2,0)))</f>
        <v>1</v>
      </c>
      <c r="W337" s="221"/>
      <c r="X337" s="222">
        <f>IF(X336=0,"",IF(X336&gt;10,ROUNDDOWN((X336-10)/2,0),ROUNDUP((X336-10)/2,0)))</f>
        <v>2</v>
      </c>
      <c r="Y337" s="221"/>
    </row>
    <row r="338" spans="1:25" x14ac:dyDescent="0.25">
      <c r="A338" s="220"/>
      <c r="B338" s="221"/>
      <c r="C338" s="222"/>
      <c r="D338" s="221"/>
      <c r="E338" s="222"/>
      <c r="F338" s="221"/>
      <c r="G338" s="222"/>
      <c r="H338" s="221"/>
      <c r="I338" s="222"/>
      <c r="J338" s="221"/>
      <c r="K338" s="222"/>
      <c r="L338" s="221"/>
      <c r="N338" s="220"/>
      <c r="O338" s="221"/>
      <c r="P338" s="222"/>
      <c r="Q338" s="221"/>
      <c r="R338" s="222"/>
      <c r="S338" s="221"/>
      <c r="T338" s="222"/>
      <c r="U338" s="221"/>
      <c r="V338" s="222"/>
      <c r="W338" s="221"/>
      <c r="X338" s="222"/>
      <c r="Y338" s="221"/>
    </row>
    <row r="339" spans="1:25" ht="15.75" thickBot="1" x14ac:dyDescent="0.3">
      <c r="A339" s="215" t="s">
        <v>917</v>
      </c>
      <c r="B339" s="216"/>
      <c r="C339" s="217" t="s">
        <v>918</v>
      </c>
      <c r="D339" s="216"/>
      <c r="E339" s="217" t="s">
        <v>919</v>
      </c>
      <c r="F339" s="216"/>
      <c r="G339" s="217" t="s">
        <v>920</v>
      </c>
      <c r="H339" s="216"/>
      <c r="I339" s="217" t="s">
        <v>921</v>
      </c>
      <c r="J339" s="216"/>
      <c r="K339" s="217" t="s">
        <v>922</v>
      </c>
      <c r="L339" s="216"/>
      <c r="N339" s="215" t="s">
        <v>917</v>
      </c>
      <c r="O339" s="216"/>
      <c r="P339" s="217" t="s">
        <v>918</v>
      </c>
      <c r="Q339" s="216"/>
      <c r="R339" s="217" t="s">
        <v>919</v>
      </c>
      <c r="S339" s="216"/>
      <c r="T339" s="217" t="s">
        <v>920</v>
      </c>
      <c r="U339" s="216"/>
      <c r="V339" s="217" t="s">
        <v>921</v>
      </c>
      <c r="W339" s="216"/>
      <c r="X339" s="217" t="s">
        <v>922</v>
      </c>
      <c r="Y339" s="216"/>
    </row>
    <row r="340" spans="1:25" ht="15.75" thickBot="1" x14ac:dyDescent="0.3">
      <c r="A340" s="180" t="s">
        <v>923</v>
      </c>
      <c r="B340" s="181"/>
      <c r="C340" s="181"/>
      <c r="D340" s="181"/>
      <c r="E340" s="181"/>
      <c r="F340" s="182"/>
      <c r="G340" s="180" t="s">
        <v>924</v>
      </c>
      <c r="H340" s="181"/>
      <c r="I340" s="181"/>
      <c r="J340" s="181"/>
      <c r="K340" s="181"/>
      <c r="L340" s="182"/>
      <c r="N340" s="180" t="s">
        <v>923</v>
      </c>
      <c r="O340" s="181"/>
      <c r="P340" s="181"/>
      <c r="Q340" s="181"/>
      <c r="R340" s="181"/>
      <c r="S340" s="182"/>
      <c r="T340" s="180" t="s">
        <v>924</v>
      </c>
      <c r="U340" s="181"/>
      <c r="V340" s="181"/>
      <c r="W340" s="181"/>
      <c r="X340" s="181"/>
      <c r="Y340" s="182"/>
    </row>
    <row r="341" spans="1:25" ht="16.5" x14ac:dyDescent="0.3">
      <c r="A341" s="131" t="s">
        <v>917</v>
      </c>
      <c r="B341" s="132">
        <f>IFERROR(IF(C341="prof",A337+A330,A337),"")</f>
        <v>6</v>
      </c>
      <c r="C341" s="133" t="s">
        <v>932</v>
      </c>
      <c r="D341" s="134" t="s">
        <v>920</v>
      </c>
      <c r="E341" s="135">
        <f>IFERROR(IF(F341="prof",G337+A330,G337),"")</f>
        <v>3</v>
      </c>
      <c r="F341" s="136" t="s">
        <v>925</v>
      </c>
      <c r="G341" s="207" t="s">
        <v>926</v>
      </c>
      <c r="H341" s="208"/>
      <c r="I341" s="208"/>
      <c r="J341" s="211">
        <f>IFERROR(IF(L341="prof",I337+A330+10,I337+10),"")</f>
        <v>12</v>
      </c>
      <c r="K341" s="211"/>
      <c r="L341" s="213" t="s">
        <v>932</v>
      </c>
      <c r="N341" s="131" t="s">
        <v>917</v>
      </c>
      <c r="O341" s="132">
        <f>IFERROR(IF(P341="prof",N337+N330,N337),"")</f>
        <v>4</v>
      </c>
      <c r="P341" s="137" t="s">
        <v>925</v>
      </c>
      <c r="Q341" s="134" t="s">
        <v>920</v>
      </c>
      <c r="R341" s="135">
        <f>IFERROR(IF(S341="prof",T337+N330,T337),"")</f>
        <v>2</v>
      </c>
      <c r="S341" s="136" t="s">
        <v>925</v>
      </c>
      <c r="T341" s="207" t="s">
        <v>926</v>
      </c>
      <c r="U341" s="208"/>
      <c r="V341" s="208"/>
      <c r="W341" s="211">
        <f>IFERROR(IF(Y341="prof",V337+N330+10,V337+10),"")</f>
        <v>11</v>
      </c>
      <c r="X341" s="211"/>
      <c r="Y341" s="213" t="s">
        <v>925</v>
      </c>
    </row>
    <row r="342" spans="1:25" ht="16.5" x14ac:dyDescent="0.3">
      <c r="A342" s="134" t="s">
        <v>918</v>
      </c>
      <c r="B342" s="135">
        <f>IFERROR(IF(C342="prof",C337+A330,C337),"")</f>
        <v>2</v>
      </c>
      <c r="C342" s="137" t="s">
        <v>925</v>
      </c>
      <c r="D342" s="134" t="s">
        <v>921</v>
      </c>
      <c r="E342" s="135">
        <f>IFERROR(IF(F342="prof",I337+A330,I337),"")</f>
        <v>0</v>
      </c>
      <c r="F342" s="136" t="s">
        <v>925</v>
      </c>
      <c r="G342" s="209"/>
      <c r="H342" s="210"/>
      <c r="I342" s="210"/>
      <c r="J342" s="212"/>
      <c r="K342" s="212"/>
      <c r="L342" s="214"/>
      <c r="N342" s="134" t="s">
        <v>918</v>
      </c>
      <c r="O342" s="135">
        <f>IFERROR(IF(P342="prof",P337+N330,P337),"")</f>
        <v>5</v>
      </c>
      <c r="P342" s="137" t="s">
        <v>932</v>
      </c>
      <c r="Q342" s="134" t="s">
        <v>921</v>
      </c>
      <c r="R342" s="135">
        <f>IFERROR(IF(S342="prof",V337+N330,V337),"")</f>
        <v>3</v>
      </c>
      <c r="S342" s="137" t="s">
        <v>932</v>
      </c>
      <c r="T342" s="209"/>
      <c r="U342" s="210"/>
      <c r="V342" s="210"/>
      <c r="W342" s="212"/>
      <c r="X342" s="212"/>
      <c r="Y342" s="214"/>
    </row>
    <row r="343" spans="1:25" ht="17.25" thickBot="1" x14ac:dyDescent="0.35">
      <c r="A343" s="134" t="s">
        <v>919</v>
      </c>
      <c r="B343" s="135">
        <f>IFERROR(IF(C343="prof",E337+A330,E337),"")</f>
        <v>4</v>
      </c>
      <c r="C343" s="137" t="s">
        <v>932</v>
      </c>
      <c r="D343" s="134" t="s">
        <v>927</v>
      </c>
      <c r="E343" s="135">
        <f>IFERROR(IF(F343="prof",K337+A330,K337),"")</f>
        <v>-1</v>
      </c>
      <c r="F343" s="136" t="s">
        <v>925</v>
      </c>
      <c r="G343" s="199" t="s">
        <v>983</v>
      </c>
      <c r="H343" s="186"/>
      <c r="I343" s="138">
        <v>60</v>
      </c>
      <c r="J343" s="199" t="s">
        <v>915</v>
      </c>
      <c r="K343" s="186"/>
      <c r="L343" s="139">
        <v>0</v>
      </c>
      <c r="N343" s="134" t="s">
        <v>919</v>
      </c>
      <c r="O343" s="135">
        <f>IFERROR(IF(P343="prof",R337+N330,R337),"")</f>
        <v>3</v>
      </c>
      <c r="P343" s="137" t="s">
        <v>925</v>
      </c>
      <c r="Q343" s="134" t="s">
        <v>927</v>
      </c>
      <c r="R343" s="135">
        <f>IFERROR(IF(S343="prof",X337+N330,X337),"")</f>
        <v>2</v>
      </c>
      <c r="S343" s="136" t="s">
        <v>925</v>
      </c>
      <c r="T343" s="199" t="s">
        <v>983</v>
      </c>
      <c r="U343" s="186"/>
      <c r="V343" s="138">
        <v>120</v>
      </c>
      <c r="W343" s="199" t="s">
        <v>1071</v>
      </c>
      <c r="X343" s="186"/>
      <c r="Y343" s="139">
        <v>30</v>
      </c>
    </row>
    <row r="344" spans="1:25" ht="15.75" thickBot="1" x14ac:dyDescent="0.3">
      <c r="A344" s="180" t="s">
        <v>928</v>
      </c>
      <c r="B344" s="181"/>
      <c r="C344" s="181"/>
      <c r="D344" s="181"/>
      <c r="E344" s="181"/>
      <c r="F344" s="182"/>
      <c r="G344" s="180" t="s">
        <v>929</v>
      </c>
      <c r="H344" s="181"/>
      <c r="I344" s="181"/>
      <c r="J344" s="181"/>
      <c r="K344" s="181"/>
      <c r="L344" s="182"/>
      <c r="N344" s="180" t="s">
        <v>928</v>
      </c>
      <c r="O344" s="181"/>
      <c r="P344" s="181"/>
      <c r="Q344" s="181"/>
      <c r="R344" s="181"/>
      <c r="S344" s="182"/>
      <c r="T344" s="180" t="s">
        <v>929</v>
      </c>
      <c r="U344" s="181"/>
      <c r="V344" s="181"/>
      <c r="W344" s="181"/>
      <c r="X344" s="181"/>
      <c r="Y344" s="182"/>
    </row>
    <row r="345" spans="1:25" ht="16.5" x14ac:dyDescent="0.3">
      <c r="A345" s="199" t="s">
        <v>1167</v>
      </c>
      <c r="B345" s="186"/>
      <c r="C345" s="186"/>
      <c r="D345" s="140" t="s">
        <v>937</v>
      </c>
      <c r="E345" s="140">
        <f>IF(F345="expert",2,IF(F345="prof",1,0))*A330+VALUE(IF(D345="Str",A337,IF(D345="Dex",C337,IF(D345="Con",E337,IF(D345="Int",G337,IF(D345="Wis",I337,IF(D345="Cha",K337,"")))))))</f>
        <v>5</v>
      </c>
      <c r="F345" s="141" t="s">
        <v>932</v>
      </c>
      <c r="G345" s="205"/>
      <c r="H345" s="206"/>
      <c r="I345" s="142"/>
      <c r="J345" s="206"/>
      <c r="K345" s="206"/>
      <c r="L345" s="143"/>
      <c r="N345" s="199" t="s">
        <v>1167</v>
      </c>
      <c r="O345" s="186"/>
      <c r="P345" s="186"/>
      <c r="Q345" s="140" t="s">
        <v>937</v>
      </c>
      <c r="R345" s="140">
        <f>IF(S345="expert",2,IF(S345="prof",1,0))*N330+VALUE(IF(Q345="Str",N337,IF(Q345="Dex",P337,IF(Q345="Con",R337,IF(Q345="Int",T337,IF(Q345="Wis",V337,IF(Q345="Cha",X337,"")))))))</f>
        <v>4</v>
      </c>
      <c r="S345" s="141" t="s">
        <v>932</v>
      </c>
      <c r="T345" s="205" t="s">
        <v>1175</v>
      </c>
      <c r="U345" s="206"/>
      <c r="V345" s="142" t="s">
        <v>1176</v>
      </c>
      <c r="W345" s="206"/>
      <c r="X345" s="206"/>
      <c r="Y345" s="143"/>
    </row>
    <row r="346" spans="1:25" ht="16.5" x14ac:dyDescent="0.3">
      <c r="A346" s="199" t="s">
        <v>968</v>
      </c>
      <c r="B346" s="186"/>
      <c r="C346" s="186"/>
      <c r="D346" s="140" t="s">
        <v>927</v>
      </c>
      <c r="E346" s="140">
        <f>IF(F346="expert",2,IF(F346="prof",1,0))*A330+VALUE(IF(D346="Str",A337,IF(D346="Dex",C337,IF(D346="Con",E337,IF(D346="Int",G337,IF(D346="Wis",I337,IF(D346="Cha",K337,"")))))))</f>
        <v>1</v>
      </c>
      <c r="F346" s="141" t="s">
        <v>932</v>
      </c>
      <c r="G346" s="199"/>
      <c r="H346" s="186"/>
      <c r="I346" s="137"/>
      <c r="J346" s="186"/>
      <c r="K346" s="186"/>
      <c r="L346" s="141"/>
      <c r="N346" s="199" t="s">
        <v>986</v>
      </c>
      <c r="O346" s="186"/>
      <c r="P346" s="186"/>
      <c r="Q346" s="140" t="s">
        <v>934</v>
      </c>
      <c r="R346" s="140">
        <f>IF(S346="expert",2,IF(S346="prof",1,0))*N330+VALUE(IF(Q346="Str",N337,IF(Q346="Dex",P337,IF(Q346="Con",R337,IF(Q346="Int",T337,IF(Q346="Wis",V337,IF(Q346="Cha",X337,"")))))))</f>
        <v>5</v>
      </c>
      <c r="S346" s="141" t="s">
        <v>932</v>
      </c>
      <c r="T346" s="199"/>
      <c r="U346" s="186"/>
      <c r="V346" s="137"/>
      <c r="W346" s="186"/>
      <c r="X346" s="186"/>
      <c r="Y346" s="141"/>
    </row>
    <row r="347" spans="1:25" ht="16.5" x14ac:dyDescent="0.3">
      <c r="A347" s="199" t="s">
        <v>969</v>
      </c>
      <c r="B347" s="186"/>
      <c r="C347" s="186"/>
      <c r="D347" s="140" t="s">
        <v>938</v>
      </c>
      <c r="E347" s="140">
        <f>IF(F347="expert",2,IF(F347="prof",1,0))*A330+VALUE(IF(D347="Str",A337,IF(D347="Dex",C337,IF(D347="Con",E337,IF(D347="Int",G337,IF(D347="Wis",I337,IF(D347="Cha",K337,"")))))))</f>
        <v>2</v>
      </c>
      <c r="F347" s="141" t="s">
        <v>932</v>
      </c>
      <c r="G347" s="199"/>
      <c r="H347" s="186"/>
      <c r="I347" s="137"/>
      <c r="J347" s="186"/>
      <c r="K347" s="186"/>
      <c r="L347" s="141"/>
      <c r="N347" s="199" t="s">
        <v>969</v>
      </c>
      <c r="O347" s="186"/>
      <c r="P347" s="186"/>
      <c r="Q347" s="140" t="s">
        <v>938</v>
      </c>
      <c r="R347" s="140">
        <f>IF(S347="expert",2,IF(S347="prof",1,0))*N330+VALUE(IF(Q347="Str",N337,IF(Q347="Dex",P337,IF(Q347="Con",R337,IF(Q347="Int",T337,IF(Q347="Wis",V337,IF(Q347="Cha",X337,"")))))))</f>
        <v>1</v>
      </c>
      <c r="S347" s="141" t="s">
        <v>915</v>
      </c>
      <c r="T347" s="199"/>
      <c r="U347" s="186"/>
      <c r="V347" s="137"/>
      <c r="W347" s="186"/>
      <c r="X347" s="186"/>
      <c r="Y347" s="141"/>
    </row>
    <row r="348" spans="1:25" ht="16.5" x14ac:dyDescent="0.3">
      <c r="A348" s="199" t="s">
        <v>1168</v>
      </c>
      <c r="B348" s="186"/>
      <c r="C348" s="186"/>
      <c r="D348" s="140" t="s">
        <v>938</v>
      </c>
      <c r="E348" s="140">
        <f>IF(F348="expert",2,IF(F348="prof",1,0))*A330+VALUE(IF(D348="Str",A337,IF(D348="Dex",C337,IF(D348="Con",E337,IF(D348="Int",G337,IF(D348="Wis",I337,IF(D348="Cha",K337,"")))))))</f>
        <v>2</v>
      </c>
      <c r="F348" s="141" t="s">
        <v>932</v>
      </c>
      <c r="G348" s="199"/>
      <c r="H348" s="186"/>
      <c r="I348" s="137"/>
      <c r="J348" s="186"/>
      <c r="K348" s="186"/>
      <c r="L348" s="141"/>
      <c r="N348" s="199" t="s">
        <v>1168</v>
      </c>
      <c r="O348" s="186"/>
      <c r="P348" s="186"/>
      <c r="Q348" s="140" t="s">
        <v>938</v>
      </c>
      <c r="R348" s="140">
        <f>IF(S348="expert",2,IF(S348="prof",1,0))*N330+VALUE(IF(Q348="Str",N337,IF(Q348="Dex",P337,IF(Q348="Con",R337,IF(Q348="Int",T337,IF(Q348="Wis",V337,IF(Q348="Cha",X337,"")))))))</f>
        <v>1</v>
      </c>
      <c r="S348" s="141" t="s">
        <v>915</v>
      </c>
      <c r="T348" s="199"/>
      <c r="U348" s="186"/>
      <c r="V348" s="137"/>
      <c r="W348" s="186"/>
      <c r="X348" s="186"/>
      <c r="Y348" s="141"/>
    </row>
    <row r="349" spans="1:25" ht="17.25" thickBot="1" x14ac:dyDescent="0.35">
      <c r="A349" s="197" t="s">
        <v>933</v>
      </c>
      <c r="B349" s="198"/>
      <c r="C349" s="198"/>
      <c r="D349" s="144" t="s">
        <v>938</v>
      </c>
      <c r="E349" s="144">
        <f>IF(F349="expert",2,IF(F349="prof",1,0))*A330+VALUE(IF(D349="Str",A337,IF(D349="Dex",C337,IF(D349="Con",E337,IF(D349="Int",G337,IF(D349="Wis",I337,IF(D349="Cha",K337,"")))))))</f>
        <v>2</v>
      </c>
      <c r="F349" s="141" t="s">
        <v>932</v>
      </c>
      <c r="G349" s="199"/>
      <c r="H349" s="186"/>
      <c r="I349" s="137"/>
      <c r="J349" s="186"/>
      <c r="K349" s="186"/>
      <c r="L349" s="141"/>
      <c r="N349" s="197" t="s">
        <v>933</v>
      </c>
      <c r="O349" s="198"/>
      <c r="P349" s="198"/>
      <c r="Q349" s="144" t="s">
        <v>938</v>
      </c>
      <c r="R349" s="144">
        <f>IF(S349="expert",2,IF(S349="prof",1,0))*N330+VALUE(IF(Q349="Str",N337,IF(Q349="Dex",P337,IF(Q349="Con",R337,IF(Q349="Int",T337,IF(Q349="Wis",V337,IF(Q349="Cha",X337,"")))))))</f>
        <v>1</v>
      </c>
      <c r="S349" s="141" t="s">
        <v>915</v>
      </c>
      <c r="T349" s="199"/>
      <c r="U349" s="186"/>
      <c r="V349" s="137"/>
      <c r="W349" s="186"/>
      <c r="X349" s="186"/>
      <c r="Y349" s="141"/>
    </row>
    <row r="350" spans="1:25" ht="17.25" thickBot="1" x14ac:dyDescent="0.35">
      <c r="A350" s="200" t="s">
        <v>939</v>
      </c>
      <c r="B350" s="201"/>
      <c r="C350" s="201"/>
      <c r="D350" s="202"/>
      <c r="E350" s="203" t="s">
        <v>940</v>
      </c>
      <c r="F350" s="204"/>
      <c r="G350" s="185"/>
      <c r="H350" s="186"/>
      <c r="I350" s="137"/>
      <c r="J350" s="186"/>
      <c r="K350" s="186"/>
      <c r="L350" s="141"/>
      <c r="N350" s="200" t="s">
        <v>939</v>
      </c>
      <c r="O350" s="201"/>
      <c r="P350" s="201"/>
      <c r="Q350" s="202"/>
      <c r="R350" s="203" t="s">
        <v>940</v>
      </c>
      <c r="S350" s="204"/>
      <c r="T350" s="185"/>
      <c r="U350" s="186"/>
      <c r="V350" s="137"/>
      <c r="W350" s="186"/>
      <c r="X350" s="186"/>
      <c r="Y350" s="141"/>
    </row>
    <row r="351" spans="1:25" ht="16.5" x14ac:dyDescent="0.3">
      <c r="A351" s="190" t="s">
        <v>988</v>
      </c>
      <c r="B351" s="191"/>
      <c r="C351" s="191" t="s">
        <v>1117</v>
      </c>
      <c r="D351" s="191"/>
      <c r="E351" s="186" t="s">
        <v>1169</v>
      </c>
      <c r="F351" s="192"/>
      <c r="G351" s="185"/>
      <c r="H351" s="186"/>
      <c r="I351" s="137"/>
      <c r="J351" s="186"/>
      <c r="K351" s="186"/>
      <c r="L351" s="141"/>
      <c r="N351" s="190" t="s">
        <v>988</v>
      </c>
      <c r="O351" s="191"/>
      <c r="P351" s="191" t="s">
        <v>1131</v>
      </c>
      <c r="Q351" s="191"/>
      <c r="R351" s="186" t="s">
        <v>1169</v>
      </c>
      <c r="S351" s="192"/>
      <c r="T351" s="185"/>
      <c r="U351" s="186"/>
      <c r="V351" s="137"/>
      <c r="W351" s="186"/>
      <c r="X351" s="186"/>
      <c r="Y351" s="141"/>
    </row>
    <row r="352" spans="1:25" ht="17.25" thickBot="1" x14ac:dyDescent="0.35">
      <c r="A352" s="193" t="s">
        <v>1170</v>
      </c>
      <c r="B352" s="194"/>
      <c r="C352" s="194"/>
      <c r="D352" s="194"/>
      <c r="E352" s="194"/>
      <c r="F352" s="195"/>
      <c r="G352" s="196"/>
      <c r="H352" s="194"/>
      <c r="I352" s="146"/>
      <c r="J352" s="194"/>
      <c r="K352" s="194"/>
      <c r="L352" s="147"/>
      <c r="N352" s="193" t="s">
        <v>1170</v>
      </c>
      <c r="O352" s="194"/>
      <c r="P352" s="194"/>
      <c r="Q352" s="194"/>
      <c r="R352" s="194"/>
      <c r="S352" s="195"/>
      <c r="T352" s="196"/>
      <c r="U352" s="194"/>
      <c r="V352" s="146"/>
      <c r="W352" s="194"/>
      <c r="X352" s="194"/>
      <c r="Y352" s="147"/>
    </row>
    <row r="353" spans="1:25" ht="15.75" thickBot="1" x14ac:dyDescent="0.3">
      <c r="A353" s="177" t="s">
        <v>941</v>
      </c>
      <c r="B353" s="178"/>
      <c r="C353" s="178"/>
      <c r="D353" s="178"/>
      <c r="E353" s="178"/>
      <c r="F353" s="179"/>
      <c r="G353" s="180" t="s">
        <v>942</v>
      </c>
      <c r="H353" s="181"/>
      <c r="I353" s="181"/>
      <c r="J353" s="181"/>
      <c r="K353" s="181"/>
      <c r="L353" s="182"/>
      <c r="N353" s="177" t="s">
        <v>941</v>
      </c>
      <c r="O353" s="178"/>
      <c r="P353" s="178"/>
      <c r="Q353" s="178"/>
      <c r="R353" s="178"/>
      <c r="S353" s="179"/>
      <c r="T353" s="180" t="s">
        <v>942</v>
      </c>
      <c r="U353" s="181"/>
      <c r="V353" s="181"/>
      <c r="W353" s="181"/>
      <c r="X353" s="181"/>
      <c r="Y353" s="182"/>
    </row>
    <row r="354" spans="1:25" x14ac:dyDescent="0.25">
      <c r="A354" s="183" t="s">
        <v>943</v>
      </c>
      <c r="B354" s="183"/>
      <c r="C354" s="148" t="s">
        <v>944</v>
      </c>
      <c r="D354" s="149" t="s">
        <v>945</v>
      </c>
      <c r="E354" s="149" t="s">
        <v>946</v>
      </c>
      <c r="F354" s="150" t="s">
        <v>947</v>
      </c>
      <c r="G354" s="168" t="s">
        <v>1173</v>
      </c>
      <c r="H354" s="169"/>
      <c r="I354" s="169"/>
      <c r="J354" s="169"/>
      <c r="K354" s="169"/>
      <c r="L354" s="170"/>
      <c r="N354" s="183" t="s">
        <v>943</v>
      </c>
      <c r="O354" s="183"/>
      <c r="P354" s="148" t="s">
        <v>944</v>
      </c>
      <c r="Q354" s="149" t="s">
        <v>945</v>
      </c>
      <c r="R354" s="149" t="s">
        <v>946</v>
      </c>
      <c r="S354" s="150" t="s">
        <v>947</v>
      </c>
      <c r="T354" s="168" t="s">
        <v>1179</v>
      </c>
      <c r="U354" s="169"/>
      <c r="V354" s="169"/>
      <c r="W354" s="169"/>
      <c r="X354" s="169"/>
      <c r="Y354" s="170"/>
    </row>
    <row r="355" spans="1:25" x14ac:dyDescent="0.25">
      <c r="A355" s="184" t="s">
        <v>1156</v>
      </c>
      <c r="B355" s="185"/>
      <c r="C355" s="140">
        <v>2</v>
      </c>
      <c r="D355" s="1" t="s">
        <v>950</v>
      </c>
      <c r="E355" s="151">
        <v>6</v>
      </c>
      <c r="F355" s="65" t="s">
        <v>1122</v>
      </c>
      <c r="G355" s="171"/>
      <c r="H355" s="172"/>
      <c r="I355" s="172"/>
      <c r="J355" s="172"/>
      <c r="K355" s="172"/>
      <c r="L355" s="173"/>
      <c r="N355" s="184" t="s">
        <v>971</v>
      </c>
      <c r="O355" s="185"/>
      <c r="P355" s="140">
        <v>2</v>
      </c>
      <c r="Q355" s="1" t="s">
        <v>950</v>
      </c>
      <c r="R355" s="151">
        <v>9</v>
      </c>
      <c r="S355" s="65" t="s">
        <v>1177</v>
      </c>
      <c r="T355" s="171"/>
      <c r="U355" s="172"/>
      <c r="V355" s="172"/>
      <c r="W355" s="172"/>
      <c r="X355" s="172"/>
      <c r="Y355" s="173"/>
    </row>
    <row r="356" spans="1:25" x14ac:dyDescent="0.25">
      <c r="A356" s="186" t="s">
        <v>990</v>
      </c>
      <c r="B356" s="186"/>
      <c r="C356" s="140">
        <v>2</v>
      </c>
      <c r="D356" s="1" t="s">
        <v>975</v>
      </c>
      <c r="E356" s="151">
        <v>6</v>
      </c>
      <c r="F356" s="65" t="s">
        <v>1171</v>
      </c>
      <c r="G356" s="171"/>
      <c r="H356" s="172"/>
      <c r="I356" s="172"/>
      <c r="J356" s="172"/>
      <c r="K356" s="172"/>
      <c r="L356" s="173"/>
      <c r="N356" s="186" t="s">
        <v>990</v>
      </c>
      <c r="O356" s="186"/>
      <c r="P356" s="140">
        <v>2</v>
      </c>
      <c r="Q356" s="1" t="s">
        <v>975</v>
      </c>
      <c r="R356" s="151">
        <v>6</v>
      </c>
      <c r="S356" s="65" t="s">
        <v>1171</v>
      </c>
      <c r="T356" s="171"/>
      <c r="U356" s="172"/>
      <c r="V356" s="172"/>
      <c r="W356" s="172"/>
      <c r="X356" s="172"/>
      <c r="Y356" s="173"/>
    </row>
    <row r="357" spans="1:25" x14ac:dyDescent="0.25">
      <c r="A357" s="186"/>
      <c r="B357" s="186"/>
      <c r="C357" s="140"/>
      <c r="D357" s="1" t="s">
        <v>973</v>
      </c>
      <c r="E357" s="151"/>
      <c r="F357" s="65"/>
      <c r="G357" s="171"/>
      <c r="H357" s="172"/>
      <c r="I357" s="172"/>
      <c r="J357" s="172"/>
      <c r="K357" s="172"/>
      <c r="L357" s="173"/>
      <c r="N357" s="186"/>
      <c r="O357" s="186"/>
      <c r="P357" s="140"/>
      <c r="Q357" s="1" t="s">
        <v>973</v>
      </c>
      <c r="R357" s="151"/>
      <c r="S357" s="65"/>
      <c r="T357" s="171"/>
      <c r="U357" s="172"/>
      <c r="V357" s="172"/>
      <c r="W357" s="172"/>
      <c r="X357" s="172"/>
      <c r="Y357" s="173"/>
    </row>
    <row r="358" spans="1:25" ht="16.5" x14ac:dyDescent="0.3">
      <c r="A358" s="187" t="s">
        <v>959</v>
      </c>
      <c r="B358" s="187"/>
      <c r="C358" s="187"/>
      <c r="D358" s="188" t="s">
        <v>937</v>
      </c>
      <c r="E358" s="189"/>
      <c r="F358" s="189"/>
      <c r="G358" s="171"/>
      <c r="H358" s="172"/>
      <c r="I358" s="172"/>
      <c r="J358" s="172"/>
      <c r="K358" s="172"/>
      <c r="L358" s="173"/>
      <c r="N358" s="187" t="s">
        <v>959</v>
      </c>
      <c r="O358" s="187"/>
      <c r="P358" s="187"/>
      <c r="Q358" s="188" t="s">
        <v>937</v>
      </c>
      <c r="R358" s="189"/>
      <c r="S358" s="189"/>
      <c r="T358" s="171"/>
      <c r="U358" s="172"/>
      <c r="V358" s="172"/>
      <c r="W358" s="172"/>
      <c r="X358" s="172"/>
      <c r="Y358" s="173"/>
    </row>
    <row r="359" spans="1:25" ht="15.75" thickBot="1" x14ac:dyDescent="0.3">
      <c r="A359" s="167" t="s">
        <v>960</v>
      </c>
      <c r="B359" s="167"/>
      <c r="C359" s="144">
        <f>A330+IF(D358="Int",G337,IF(D358="Wis",I337,IF(D358="Cha",K337,0)))</f>
        <v>5</v>
      </c>
      <c r="D359" s="167" t="s">
        <v>961</v>
      </c>
      <c r="E359" s="167"/>
      <c r="F359" s="152">
        <f>8+A330+IF(D358="Int",G337,IF(D358="Wis",I337,IF(D358="Cha",K337,0)))</f>
        <v>13</v>
      </c>
      <c r="G359" s="171"/>
      <c r="H359" s="172"/>
      <c r="I359" s="172"/>
      <c r="J359" s="172"/>
      <c r="K359" s="172"/>
      <c r="L359" s="173"/>
      <c r="N359" s="167" t="s">
        <v>960</v>
      </c>
      <c r="O359" s="167"/>
      <c r="P359" s="144">
        <f>N330+IF(Q358="Int",T337,IF(Q358="Wis",V337,IF(Q358="Cha",X337,0)))</f>
        <v>4</v>
      </c>
      <c r="Q359" s="167" t="s">
        <v>961</v>
      </c>
      <c r="R359" s="167"/>
      <c r="S359" s="152">
        <f>8+N330+IF(Q358="Int",T337,IF(Q358="Wis",V337,IF(Q358="Cha",X337,0)))</f>
        <v>12</v>
      </c>
      <c r="T359" s="171"/>
      <c r="U359" s="172"/>
      <c r="V359" s="172"/>
      <c r="W359" s="172"/>
      <c r="X359" s="172"/>
      <c r="Y359" s="173"/>
    </row>
    <row r="360" spans="1:25" x14ac:dyDescent="0.25">
      <c r="A360" s="168" t="s">
        <v>1172</v>
      </c>
      <c r="B360" s="169"/>
      <c r="C360" s="169"/>
      <c r="D360" s="169"/>
      <c r="E360" s="169"/>
      <c r="F360" s="170"/>
      <c r="G360" s="171"/>
      <c r="H360" s="172"/>
      <c r="I360" s="172"/>
      <c r="J360" s="172"/>
      <c r="K360" s="172"/>
      <c r="L360" s="173"/>
      <c r="N360" s="168" t="s">
        <v>1178</v>
      </c>
      <c r="O360" s="169"/>
      <c r="P360" s="169"/>
      <c r="Q360" s="169"/>
      <c r="R360" s="169"/>
      <c r="S360" s="170"/>
      <c r="T360" s="171"/>
      <c r="U360" s="172"/>
      <c r="V360" s="172"/>
      <c r="W360" s="172"/>
      <c r="X360" s="172"/>
      <c r="Y360" s="173"/>
    </row>
    <row r="361" spans="1:25" x14ac:dyDescent="0.25">
      <c r="A361" s="171"/>
      <c r="B361" s="172"/>
      <c r="C361" s="172"/>
      <c r="D361" s="172"/>
      <c r="E361" s="172"/>
      <c r="F361" s="173"/>
      <c r="G361" s="171"/>
      <c r="H361" s="172"/>
      <c r="I361" s="172"/>
      <c r="J361" s="172"/>
      <c r="K361" s="172"/>
      <c r="L361" s="173"/>
      <c r="N361" s="171"/>
      <c r="O361" s="172"/>
      <c r="P361" s="172"/>
      <c r="Q361" s="172"/>
      <c r="R361" s="172"/>
      <c r="S361" s="173"/>
      <c r="T361" s="171"/>
      <c r="U361" s="172"/>
      <c r="V361" s="172"/>
      <c r="W361" s="172"/>
      <c r="X361" s="172"/>
      <c r="Y361" s="173"/>
    </row>
    <row r="362" spans="1:25" x14ac:dyDescent="0.25">
      <c r="A362" s="171"/>
      <c r="B362" s="172"/>
      <c r="C362" s="172"/>
      <c r="D362" s="172"/>
      <c r="E362" s="172"/>
      <c r="F362" s="173"/>
      <c r="G362" s="171"/>
      <c r="H362" s="172"/>
      <c r="I362" s="172"/>
      <c r="J362" s="172"/>
      <c r="K362" s="172"/>
      <c r="L362" s="173"/>
      <c r="N362" s="171"/>
      <c r="O362" s="172"/>
      <c r="P362" s="172"/>
      <c r="Q362" s="172"/>
      <c r="R362" s="172"/>
      <c r="S362" s="173"/>
      <c r="T362" s="171"/>
      <c r="U362" s="172"/>
      <c r="V362" s="172"/>
      <c r="W362" s="172"/>
      <c r="X362" s="172"/>
      <c r="Y362" s="173"/>
    </row>
    <row r="363" spans="1:25" x14ac:dyDescent="0.25">
      <c r="A363" s="171"/>
      <c r="B363" s="172"/>
      <c r="C363" s="172"/>
      <c r="D363" s="172"/>
      <c r="E363" s="172"/>
      <c r="F363" s="173"/>
      <c r="G363" s="171"/>
      <c r="H363" s="172"/>
      <c r="I363" s="172"/>
      <c r="J363" s="172"/>
      <c r="K363" s="172"/>
      <c r="L363" s="173"/>
      <c r="N363" s="171"/>
      <c r="O363" s="172"/>
      <c r="P363" s="172"/>
      <c r="Q363" s="172"/>
      <c r="R363" s="172"/>
      <c r="S363" s="173"/>
      <c r="T363" s="171"/>
      <c r="U363" s="172"/>
      <c r="V363" s="172"/>
      <c r="W363" s="172"/>
      <c r="X363" s="172"/>
      <c r="Y363" s="173"/>
    </row>
    <row r="364" spans="1:25" x14ac:dyDescent="0.25">
      <c r="A364" s="171"/>
      <c r="B364" s="172"/>
      <c r="C364" s="172"/>
      <c r="D364" s="172"/>
      <c r="E364" s="172"/>
      <c r="F364" s="173"/>
      <c r="G364" s="171"/>
      <c r="H364" s="172"/>
      <c r="I364" s="172"/>
      <c r="J364" s="172"/>
      <c r="K364" s="172"/>
      <c r="L364" s="173"/>
      <c r="N364" s="171"/>
      <c r="O364" s="172"/>
      <c r="P364" s="172"/>
      <c r="Q364" s="172"/>
      <c r="R364" s="172"/>
      <c r="S364" s="173"/>
      <c r="T364" s="171"/>
      <c r="U364" s="172"/>
      <c r="V364" s="172"/>
      <c r="W364" s="172"/>
      <c r="X364" s="172"/>
      <c r="Y364" s="173"/>
    </row>
    <row r="365" spans="1:25" x14ac:dyDescent="0.25">
      <c r="A365" s="171"/>
      <c r="B365" s="172"/>
      <c r="C365" s="172"/>
      <c r="D365" s="172"/>
      <c r="E365" s="172"/>
      <c r="F365" s="173"/>
      <c r="G365" s="171"/>
      <c r="H365" s="172"/>
      <c r="I365" s="172"/>
      <c r="J365" s="172"/>
      <c r="K365" s="172"/>
      <c r="L365" s="173"/>
      <c r="N365" s="171"/>
      <c r="O365" s="172"/>
      <c r="P365" s="172"/>
      <c r="Q365" s="172"/>
      <c r="R365" s="172"/>
      <c r="S365" s="173"/>
      <c r="T365" s="171"/>
      <c r="U365" s="172"/>
      <c r="V365" s="172"/>
      <c r="W365" s="172"/>
      <c r="X365" s="172"/>
      <c r="Y365" s="173"/>
    </row>
    <row r="366" spans="1:25" x14ac:dyDescent="0.25">
      <c r="A366" s="171"/>
      <c r="B366" s="172"/>
      <c r="C366" s="172"/>
      <c r="D366" s="172"/>
      <c r="E366" s="172"/>
      <c r="F366" s="173"/>
      <c r="G366" s="171"/>
      <c r="H366" s="172"/>
      <c r="I366" s="172"/>
      <c r="J366" s="172"/>
      <c r="K366" s="172"/>
      <c r="L366" s="173"/>
      <c r="N366" s="171"/>
      <c r="O366" s="172"/>
      <c r="P366" s="172"/>
      <c r="Q366" s="172"/>
      <c r="R366" s="172"/>
      <c r="S366" s="173"/>
      <c r="T366" s="171"/>
      <c r="U366" s="172"/>
      <c r="V366" s="172"/>
      <c r="W366" s="172"/>
      <c r="X366" s="172"/>
      <c r="Y366" s="173"/>
    </row>
    <row r="367" spans="1:25" x14ac:dyDescent="0.25">
      <c r="A367" s="171"/>
      <c r="B367" s="172"/>
      <c r="C367" s="172"/>
      <c r="D367" s="172"/>
      <c r="E367" s="172"/>
      <c r="F367" s="173"/>
      <c r="G367" s="171"/>
      <c r="H367" s="172"/>
      <c r="I367" s="172"/>
      <c r="J367" s="172"/>
      <c r="K367" s="172"/>
      <c r="L367" s="173"/>
      <c r="N367" s="171"/>
      <c r="O367" s="172"/>
      <c r="P367" s="172"/>
      <c r="Q367" s="172"/>
      <c r="R367" s="172"/>
      <c r="S367" s="173"/>
      <c r="T367" s="171"/>
      <c r="U367" s="172"/>
      <c r="V367" s="172"/>
      <c r="W367" s="172"/>
      <c r="X367" s="172"/>
      <c r="Y367" s="173"/>
    </row>
    <row r="368" spans="1:25" ht="15.75" thickBot="1" x14ac:dyDescent="0.3">
      <c r="A368" s="174"/>
      <c r="B368" s="175"/>
      <c r="C368" s="175"/>
      <c r="D368" s="175"/>
      <c r="E368" s="175"/>
      <c r="F368" s="176"/>
      <c r="G368" s="174"/>
      <c r="H368" s="175"/>
      <c r="I368" s="175"/>
      <c r="J368" s="175"/>
      <c r="K368" s="175"/>
      <c r="L368" s="176"/>
      <c r="N368" s="174"/>
      <c r="O368" s="175"/>
      <c r="P368" s="175"/>
      <c r="Q368" s="175"/>
      <c r="R368" s="175"/>
      <c r="S368" s="176"/>
      <c r="T368" s="174"/>
      <c r="U368" s="175"/>
      <c r="V368" s="175"/>
      <c r="W368" s="175"/>
      <c r="X368" s="175"/>
      <c r="Y368" s="176"/>
    </row>
  </sheetData>
  <mergeCells count="2366">
    <mergeCell ref="B1:L2"/>
    <mergeCell ref="O1:Y2"/>
    <mergeCell ref="AB1:AL2"/>
    <mergeCell ref="A3:B3"/>
    <mergeCell ref="C3:D3"/>
    <mergeCell ref="E3:F3"/>
    <mergeCell ref="G3:G4"/>
    <mergeCell ref="H3:H4"/>
    <mergeCell ref="I3:L3"/>
    <mergeCell ref="N3:O3"/>
    <mergeCell ref="AC4:AD4"/>
    <mergeCell ref="AE4:AF4"/>
    <mergeCell ref="AI4:AL4"/>
    <mergeCell ref="A5:B6"/>
    <mergeCell ref="C5:C6"/>
    <mergeCell ref="D5:D6"/>
    <mergeCell ref="E5:E6"/>
    <mergeCell ref="F5:F6"/>
    <mergeCell ref="G5:G6"/>
    <mergeCell ref="H5:H6"/>
    <mergeCell ref="AC3:AD3"/>
    <mergeCell ref="AE3:AF3"/>
    <mergeCell ref="AG3:AG4"/>
    <mergeCell ref="AH3:AH4"/>
    <mergeCell ref="AI3:AL3"/>
    <mergeCell ref="A4:B4"/>
    <mergeCell ref="C4:D4"/>
    <mergeCell ref="E4:F4"/>
    <mergeCell ref="I4:L4"/>
    <mergeCell ref="N4:O4"/>
    <mergeCell ref="P3:Q3"/>
    <mergeCell ref="R3:S3"/>
    <mergeCell ref="T3:T4"/>
    <mergeCell ref="U3:U4"/>
    <mergeCell ref="V3:Y3"/>
    <mergeCell ref="AA3:AB3"/>
    <mergeCell ref="P4:Q4"/>
    <mergeCell ref="R4:S4"/>
    <mergeCell ref="V4:Y4"/>
    <mergeCell ref="AA4:AB4"/>
    <mergeCell ref="AG5:AG6"/>
    <mergeCell ref="AH5:AH6"/>
    <mergeCell ref="AI5:AI6"/>
    <mergeCell ref="AJ5:AK6"/>
    <mergeCell ref="AL5:AL6"/>
    <mergeCell ref="A7:B7"/>
    <mergeCell ref="G7:K7"/>
    <mergeCell ref="N7:O7"/>
    <mergeCell ref="T7:X7"/>
    <mergeCell ref="AA7:AB7"/>
    <mergeCell ref="Y5:Y6"/>
    <mergeCell ref="AA5:AB6"/>
    <mergeCell ref="AC5:AC6"/>
    <mergeCell ref="AD5:AD6"/>
    <mergeCell ref="AE5:AE6"/>
    <mergeCell ref="AF5:AF6"/>
    <mergeCell ref="R5:R6"/>
    <mergeCell ref="S5:S6"/>
    <mergeCell ref="T5:T6"/>
    <mergeCell ref="U5:U6"/>
    <mergeCell ref="V5:V6"/>
    <mergeCell ref="W5:X6"/>
    <mergeCell ref="I5:I6"/>
    <mergeCell ref="J5:K6"/>
    <mergeCell ref="L5:L6"/>
    <mergeCell ref="N5:O6"/>
    <mergeCell ref="P5:P6"/>
    <mergeCell ref="Q5:Q6"/>
    <mergeCell ref="AG8:AH8"/>
    <mergeCell ref="AI8:AJ8"/>
    <mergeCell ref="AK8:AL8"/>
    <mergeCell ref="A9:B10"/>
    <mergeCell ref="C9:D10"/>
    <mergeCell ref="E9:F10"/>
    <mergeCell ref="G9:H10"/>
    <mergeCell ref="I9:J10"/>
    <mergeCell ref="K9:L10"/>
    <mergeCell ref="N9:O10"/>
    <mergeCell ref="T8:U8"/>
    <mergeCell ref="V8:W8"/>
    <mergeCell ref="X8:Y8"/>
    <mergeCell ref="AA8:AB8"/>
    <mergeCell ref="AC8:AD8"/>
    <mergeCell ref="AE8:AF8"/>
    <mergeCell ref="AG7:AK7"/>
    <mergeCell ref="A8:B8"/>
    <mergeCell ref="C8:D8"/>
    <mergeCell ref="E8:F8"/>
    <mergeCell ref="G8:H8"/>
    <mergeCell ref="I8:J8"/>
    <mergeCell ref="K8:L8"/>
    <mergeCell ref="N8:O8"/>
    <mergeCell ref="P8:Q8"/>
    <mergeCell ref="R8:S8"/>
    <mergeCell ref="T11:U11"/>
    <mergeCell ref="V11:W11"/>
    <mergeCell ref="AC9:AD10"/>
    <mergeCell ref="AE9:AF10"/>
    <mergeCell ref="AG9:AH10"/>
    <mergeCell ref="AI9:AJ10"/>
    <mergeCell ref="AK9:AL10"/>
    <mergeCell ref="A11:B11"/>
    <mergeCell ref="C11:D11"/>
    <mergeCell ref="E11:F11"/>
    <mergeCell ref="G11:H11"/>
    <mergeCell ref="I11:J11"/>
    <mergeCell ref="P9:Q10"/>
    <mergeCell ref="R9:S10"/>
    <mergeCell ref="T9:U10"/>
    <mergeCell ref="V9:W10"/>
    <mergeCell ref="X9:Y10"/>
    <mergeCell ref="AA9:AB10"/>
    <mergeCell ref="AG13:AI14"/>
    <mergeCell ref="AJ13:AK14"/>
    <mergeCell ref="AL13:AL14"/>
    <mergeCell ref="G15:H15"/>
    <mergeCell ref="J15:K15"/>
    <mergeCell ref="T15:U15"/>
    <mergeCell ref="W15:X15"/>
    <mergeCell ref="AG15:AH15"/>
    <mergeCell ref="AJ15:AK15"/>
    <mergeCell ref="G13:I14"/>
    <mergeCell ref="J13:K14"/>
    <mergeCell ref="L13:L14"/>
    <mergeCell ref="T13:V14"/>
    <mergeCell ref="W13:X14"/>
    <mergeCell ref="Y13:Y14"/>
    <mergeCell ref="AK11:AL11"/>
    <mergeCell ref="A12:F12"/>
    <mergeCell ref="G12:L12"/>
    <mergeCell ref="N12:S12"/>
    <mergeCell ref="T12:Y12"/>
    <mergeCell ref="AA12:AF12"/>
    <mergeCell ref="AG12:AL12"/>
    <mergeCell ref="X11:Y11"/>
    <mergeCell ref="AA11:AB11"/>
    <mergeCell ref="AC11:AD11"/>
    <mergeCell ref="AE11:AF11"/>
    <mergeCell ref="AG11:AH11"/>
    <mergeCell ref="AI11:AJ11"/>
    <mergeCell ref="K11:L11"/>
    <mergeCell ref="N11:O11"/>
    <mergeCell ref="P11:Q11"/>
    <mergeCell ref="R11:S11"/>
    <mergeCell ref="AA17:AC17"/>
    <mergeCell ref="AG17:AH17"/>
    <mergeCell ref="AJ17:AK17"/>
    <mergeCell ref="A18:C18"/>
    <mergeCell ref="G18:H18"/>
    <mergeCell ref="J18:K18"/>
    <mergeCell ref="N18:P18"/>
    <mergeCell ref="T18:U18"/>
    <mergeCell ref="W18:X18"/>
    <mergeCell ref="AA18:AC18"/>
    <mergeCell ref="A17:C17"/>
    <mergeCell ref="G17:H17"/>
    <mergeCell ref="J17:K17"/>
    <mergeCell ref="N17:P17"/>
    <mergeCell ref="T17:U17"/>
    <mergeCell ref="W17:X17"/>
    <mergeCell ref="A16:F16"/>
    <mergeCell ref="G16:L16"/>
    <mergeCell ref="N16:S16"/>
    <mergeCell ref="T16:Y16"/>
    <mergeCell ref="AA16:AF16"/>
    <mergeCell ref="AG16:AL16"/>
    <mergeCell ref="AJ19:AK19"/>
    <mergeCell ref="A20:C20"/>
    <mergeCell ref="G20:H20"/>
    <mergeCell ref="J20:K20"/>
    <mergeCell ref="N20:P20"/>
    <mergeCell ref="T20:U20"/>
    <mergeCell ref="W20:X20"/>
    <mergeCell ref="AA20:AC20"/>
    <mergeCell ref="AG20:AH20"/>
    <mergeCell ref="AJ20:AK20"/>
    <mergeCell ref="AG18:AH18"/>
    <mergeCell ref="AJ18:AK18"/>
    <mergeCell ref="A19:C19"/>
    <mergeCell ref="G19:H19"/>
    <mergeCell ref="J19:K19"/>
    <mergeCell ref="N19:P19"/>
    <mergeCell ref="T19:U19"/>
    <mergeCell ref="W19:X19"/>
    <mergeCell ref="AA19:AC19"/>
    <mergeCell ref="AG19:AH19"/>
    <mergeCell ref="W22:X22"/>
    <mergeCell ref="AA22:AD22"/>
    <mergeCell ref="AE22:AF22"/>
    <mergeCell ref="AG22:AH22"/>
    <mergeCell ref="AJ22:AK22"/>
    <mergeCell ref="A23:B23"/>
    <mergeCell ref="C23:D23"/>
    <mergeCell ref="E23:F23"/>
    <mergeCell ref="G23:H23"/>
    <mergeCell ref="J23:K23"/>
    <mergeCell ref="AA21:AC21"/>
    <mergeCell ref="AG21:AH21"/>
    <mergeCell ref="AJ21:AK21"/>
    <mergeCell ref="A22:D22"/>
    <mergeCell ref="E22:F22"/>
    <mergeCell ref="G22:H22"/>
    <mergeCell ref="J22:K22"/>
    <mergeCell ref="N22:Q22"/>
    <mergeCell ref="R22:S22"/>
    <mergeCell ref="T22:U22"/>
    <mergeCell ref="A21:C21"/>
    <mergeCell ref="G21:H21"/>
    <mergeCell ref="J21:K21"/>
    <mergeCell ref="N21:P21"/>
    <mergeCell ref="T21:U21"/>
    <mergeCell ref="W21:X21"/>
    <mergeCell ref="AE24:AF24"/>
    <mergeCell ref="AG24:AH24"/>
    <mergeCell ref="AJ24:AK24"/>
    <mergeCell ref="A25:F25"/>
    <mergeCell ref="G25:L25"/>
    <mergeCell ref="N25:S25"/>
    <mergeCell ref="T25:Y25"/>
    <mergeCell ref="AA25:AF25"/>
    <mergeCell ref="AG25:AL25"/>
    <mergeCell ref="P24:Q24"/>
    <mergeCell ref="R24:S24"/>
    <mergeCell ref="T24:U24"/>
    <mergeCell ref="W24:X24"/>
    <mergeCell ref="AA24:AB24"/>
    <mergeCell ref="AC24:AD24"/>
    <mergeCell ref="AC23:AD23"/>
    <mergeCell ref="AE23:AF23"/>
    <mergeCell ref="AG23:AH23"/>
    <mergeCell ref="AJ23:AK23"/>
    <mergeCell ref="A24:B24"/>
    <mergeCell ref="C24:D24"/>
    <mergeCell ref="E24:F24"/>
    <mergeCell ref="G24:H24"/>
    <mergeCell ref="J24:K24"/>
    <mergeCell ref="N24:O24"/>
    <mergeCell ref="N23:O23"/>
    <mergeCell ref="P23:Q23"/>
    <mergeCell ref="R23:S23"/>
    <mergeCell ref="T23:U23"/>
    <mergeCell ref="W23:X23"/>
    <mergeCell ref="AA23:AB23"/>
    <mergeCell ref="N28:O28"/>
    <mergeCell ref="AA28:AB28"/>
    <mergeCell ref="A29:B29"/>
    <mergeCell ref="N29:O29"/>
    <mergeCell ref="AA29:AB29"/>
    <mergeCell ref="A30:C30"/>
    <mergeCell ref="D30:F30"/>
    <mergeCell ref="N30:P30"/>
    <mergeCell ref="Q30:S30"/>
    <mergeCell ref="AA30:AC30"/>
    <mergeCell ref="A26:B26"/>
    <mergeCell ref="G26:L40"/>
    <mergeCell ref="N26:O26"/>
    <mergeCell ref="T26:Y40"/>
    <mergeCell ref="AA26:AB26"/>
    <mergeCell ref="AG26:AL40"/>
    <mergeCell ref="A27:B27"/>
    <mergeCell ref="N27:O27"/>
    <mergeCell ref="AA27:AB27"/>
    <mergeCell ref="A28:B28"/>
    <mergeCell ref="A44:B44"/>
    <mergeCell ref="C44:D44"/>
    <mergeCell ref="E44:F44"/>
    <mergeCell ref="G44:G45"/>
    <mergeCell ref="H44:H45"/>
    <mergeCell ref="I44:L44"/>
    <mergeCell ref="A45:B45"/>
    <mergeCell ref="C45:D45"/>
    <mergeCell ref="E45:F45"/>
    <mergeCell ref="I45:L45"/>
    <mergeCell ref="A32:F40"/>
    <mergeCell ref="N32:S40"/>
    <mergeCell ref="AA32:AF40"/>
    <mergeCell ref="B42:L43"/>
    <mergeCell ref="O42:Y43"/>
    <mergeCell ref="AB42:AL43"/>
    <mergeCell ref="AD30:AF30"/>
    <mergeCell ref="A31:B31"/>
    <mergeCell ref="D31:E31"/>
    <mergeCell ref="N31:O31"/>
    <mergeCell ref="Q31:R31"/>
    <mergeCell ref="AA31:AB31"/>
    <mergeCell ref="AD31:AE31"/>
    <mergeCell ref="D46:D47"/>
    <mergeCell ref="E46:E47"/>
    <mergeCell ref="F46:F47"/>
    <mergeCell ref="G46:G47"/>
    <mergeCell ref="AA44:AB44"/>
    <mergeCell ref="AC44:AD44"/>
    <mergeCell ref="AE44:AF44"/>
    <mergeCell ref="AG44:AG45"/>
    <mergeCell ref="AH44:AH45"/>
    <mergeCell ref="AI44:AL44"/>
    <mergeCell ref="AA45:AB45"/>
    <mergeCell ref="AC45:AD45"/>
    <mergeCell ref="AE45:AF45"/>
    <mergeCell ref="AI45:AL45"/>
    <mergeCell ref="N44:O44"/>
    <mergeCell ref="P44:Q44"/>
    <mergeCell ref="R44:S44"/>
    <mergeCell ref="T44:T45"/>
    <mergeCell ref="U44:U45"/>
    <mergeCell ref="V44:Y44"/>
    <mergeCell ref="N45:O45"/>
    <mergeCell ref="P45:Q45"/>
    <mergeCell ref="R45:S45"/>
    <mergeCell ref="V45:Y45"/>
    <mergeCell ref="A48:B48"/>
    <mergeCell ref="G48:K48"/>
    <mergeCell ref="N48:O48"/>
    <mergeCell ref="T48:X48"/>
    <mergeCell ref="AA48:AB48"/>
    <mergeCell ref="AG48:AK48"/>
    <mergeCell ref="AF46:AF47"/>
    <mergeCell ref="AG46:AG47"/>
    <mergeCell ref="AH46:AH47"/>
    <mergeCell ref="AI46:AI47"/>
    <mergeCell ref="AJ46:AK47"/>
    <mergeCell ref="AL46:AL47"/>
    <mergeCell ref="W46:X47"/>
    <mergeCell ref="Y46:Y47"/>
    <mergeCell ref="AA46:AB47"/>
    <mergeCell ref="AC46:AC47"/>
    <mergeCell ref="AD46:AD47"/>
    <mergeCell ref="AE46:AE47"/>
    <mergeCell ref="Q46:Q47"/>
    <mergeCell ref="R46:R47"/>
    <mergeCell ref="S46:S47"/>
    <mergeCell ref="T46:T47"/>
    <mergeCell ref="U46:U47"/>
    <mergeCell ref="V46:V47"/>
    <mergeCell ref="H46:H47"/>
    <mergeCell ref="I46:I47"/>
    <mergeCell ref="J46:K47"/>
    <mergeCell ref="L46:L47"/>
    <mergeCell ref="N46:O47"/>
    <mergeCell ref="P46:P47"/>
    <mergeCell ref="A46:B47"/>
    <mergeCell ref="C46:C47"/>
    <mergeCell ref="AA49:AB49"/>
    <mergeCell ref="AC49:AD49"/>
    <mergeCell ref="AE49:AF49"/>
    <mergeCell ref="AG49:AH49"/>
    <mergeCell ref="AI49:AJ49"/>
    <mergeCell ref="AK49:AL49"/>
    <mergeCell ref="N49:O49"/>
    <mergeCell ref="P49:Q49"/>
    <mergeCell ref="R49:S49"/>
    <mergeCell ref="T49:U49"/>
    <mergeCell ref="V49:W49"/>
    <mergeCell ref="X49:Y49"/>
    <mergeCell ref="A49:B49"/>
    <mergeCell ref="C49:D49"/>
    <mergeCell ref="E49:F49"/>
    <mergeCell ref="G49:H49"/>
    <mergeCell ref="I49:J49"/>
    <mergeCell ref="K49:L49"/>
    <mergeCell ref="AA50:AB51"/>
    <mergeCell ref="AC50:AD51"/>
    <mergeCell ref="AE50:AF51"/>
    <mergeCell ref="AG50:AH51"/>
    <mergeCell ref="AI50:AJ51"/>
    <mergeCell ref="AK50:AL51"/>
    <mergeCell ref="N50:O51"/>
    <mergeCell ref="P50:Q51"/>
    <mergeCell ref="R50:S51"/>
    <mergeCell ref="T50:U51"/>
    <mergeCell ref="V50:W51"/>
    <mergeCell ref="X50:Y51"/>
    <mergeCell ref="A50:B51"/>
    <mergeCell ref="C50:D51"/>
    <mergeCell ref="E50:F51"/>
    <mergeCell ref="G50:H51"/>
    <mergeCell ref="I50:J51"/>
    <mergeCell ref="K50:L51"/>
    <mergeCell ref="AA52:AB52"/>
    <mergeCell ref="AC52:AD52"/>
    <mergeCell ref="AE52:AF52"/>
    <mergeCell ref="AG52:AH52"/>
    <mergeCell ref="AI52:AJ52"/>
    <mergeCell ref="AK52:AL52"/>
    <mergeCell ref="N52:O52"/>
    <mergeCell ref="P52:Q52"/>
    <mergeCell ref="R52:S52"/>
    <mergeCell ref="T52:U52"/>
    <mergeCell ref="V52:W52"/>
    <mergeCell ref="X52:Y52"/>
    <mergeCell ref="A52:B52"/>
    <mergeCell ref="C52:D52"/>
    <mergeCell ref="E52:F52"/>
    <mergeCell ref="G52:H52"/>
    <mergeCell ref="I52:J52"/>
    <mergeCell ref="K52:L52"/>
    <mergeCell ref="AG54:AI55"/>
    <mergeCell ref="AJ54:AK55"/>
    <mergeCell ref="AL54:AL55"/>
    <mergeCell ref="G56:H56"/>
    <mergeCell ref="J56:K56"/>
    <mergeCell ref="T56:U56"/>
    <mergeCell ref="W56:X56"/>
    <mergeCell ref="AG56:AH56"/>
    <mergeCell ref="AJ56:AK56"/>
    <mergeCell ref="G54:I55"/>
    <mergeCell ref="J54:K55"/>
    <mergeCell ref="L54:L55"/>
    <mergeCell ref="T54:V55"/>
    <mergeCell ref="W54:X55"/>
    <mergeCell ref="Y54:Y55"/>
    <mergeCell ref="A53:F53"/>
    <mergeCell ref="G53:L53"/>
    <mergeCell ref="N53:S53"/>
    <mergeCell ref="T53:Y53"/>
    <mergeCell ref="AA53:AF53"/>
    <mergeCell ref="AG53:AL53"/>
    <mergeCell ref="AA58:AC58"/>
    <mergeCell ref="AG58:AH58"/>
    <mergeCell ref="AJ58:AK58"/>
    <mergeCell ref="A59:C59"/>
    <mergeCell ref="G59:H59"/>
    <mergeCell ref="J59:K59"/>
    <mergeCell ref="N59:P59"/>
    <mergeCell ref="T59:U59"/>
    <mergeCell ref="W59:X59"/>
    <mergeCell ref="AA59:AC59"/>
    <mergeCell ref="A58:C58"/>
    <mergeCell ref="G58:H58"/>
    <mergeCell ref="J58:K58"/>
    <mergeCell ref="N58:P58"/>
    <mergeCell ref="T58:U58"/>
    <mergeCell ref="W58:X58"/>
    <mergeCell ref="A57:F57"/>
    <mergeCell ref="G57:L57"/>
    <mergeCell ref="N57:S57"/>
    <mergeCell ref="T57:Y57"/>
    <mergeCell ref="AA57:AF57"/>
    <mergeCell ref="AG57:AL57"/>
    <mergeCell ref="AJ60:AK60"/>
    <mergeCell ref="A61:C61"/>
    <mergeCell ref="G61:H61"/>
    <mergeCell ref="J61:K61"/>
    <mergeCell ref="N61:P61"/>
    <mergeCell ref="T61:U61"/>
    <mergeCell ref="W61:X61"/>
    <mergeCell ref="AA61:AC61"/>
    <mergeCell ref="AG61:AH61"/>
    <mergeCell ref="AJ61:AK61"/>
    <mergeCell ref="AG59:AH59"/>
    <mergeCell ref="AJ59:AK59"/>
    <mergeCell ref="A60:C60"/>
    <mergeCell ref="G60:H60"/>
    <mergeCell ref="J60:K60"/>
    <mergeCell ref="N60:P60"/>
    <mergeCell ref="T60:U60"/>
    <mergeCell ref="W60:X60"/>
    <mergeCell ref="AA60:AC60"/>
    <mergeCell ref="AG60:AH60"/>
    <mergeCell ref="W63:X63"/>
    <mergeCell ref="AA63:AD63"/>
    <mergeCell ref="AE63:AF63"/>
    <mergeCell ref="AG63:AH63"/>
    <mergeCell ref="AJ63:AK63"/>
    <mergeCell ref="A64:B64"/>
    <mergeCell ref="C64:D64"/>
    <mergeCell ref="E64:F64"/>
    <mergeCell ref="G64:H64"/>
    <mergeCell ref="J64:K64"/>
    <mergeCell ref="AA62:AC62"/>
    <mergeCell ref="AG62:AH62"/>
    <mergeCell ref="AJ62:AK62"/>
    <mergeCell ref="A63:D63"/>
    <mergeCell ref="E63:F63"/>
    <mergeCell ref="G63:H63"/>
    <mergeCell ref="J63:K63"/>
    <mergeCell ref="N63:Q63"/>
    <mergeCell ref="R63:S63"/>
    <mergeCell ref="T63:U63"/>
    <mergeCell ref="A62:C62"/>
    <mergeCell ref="G62:H62"/>
    <mergeCell ref="J62:K62"/>
    <mergeCell ref="N62:P62"/>
    <mergeCell ref="T62:U62"/>
    <mergeCell ref="W62:X62"/>
    <mergeCell ref="AE65:AF65"/>
    <mergeCell ref="AG65:AH65"/>
    <mergeCell ref="AJ65:AK65"/>
    <mergeCell ref="A66:F66"/>
    <mergeCell ref="G66:L66"/>
    <mergeCell ref="N66:S66"/>
    <mergeCell ref="T66:Y66"/>
    <mergeCell ref="AA66:AF66"/>
    <mergeCell ref="AG66:AL66"/>
    <mergeCell ref="P65:Q65"/>
    <mergeCell ref="R65:S65"/>
    <mergeCell ref="T65:U65"/>
    <mergeCell ref="W65:X65"/>
    <mergeCell ref="AA65:AB65"/>
    <mergeCell ref="AC65:AD65"/>
    <mergeCell ref="AC64:AD64"/>
    <mergeCell ref="AE64:AF64"/>
    <mergeCell ref="AG64:AH64"/>
    <mergeCell ref="AJ64:AK64"/>
    <mergeCell ref="A65:B65"/>
    <mergeCell ref="C65:D65"/>
    <mergeCell ref="E65:F65"/>
    <mergeCell ref="G65:H65"/>
    <mergeCell ref="J65:K65"/>
    <mergeCell ref="N65:O65"/>
    <mergeCell ref="N64:O64"/>
    <mergeCell ref="P64:Q64"/>
    <mergeCell ref="R64:S64"/>
    <mergeCell ref="T64:U64"/>
    <mergeCell ref="W64:X64"/>
    <mergeCell ref="AA64:AB64"/>
    <mergeCell ref="N69:O69"/>
    <mergeCell ref="AA69:AB69"/>
    <mergeCell ref="A70:B70"/>
    <mergeCell ref="N70:O70"/>
    <mergeCell ref="AA70:AB70"/>
    <mergeCell ref="A71:C71"/>
    <mergeCell ref="D71:F71"/>
    <mergeCell ref="N71:P71"/>
    <mergeCell ref="Q71:S71"/>
    <mergeCell ref="AA71:AC71"/>
    <mergeCell ref="A67:B67"/>
    <mergeCell ref="G67:L81"/>
    <mergeCell ref="N67:O67"/>
    <mergeCell ref="T67:Y81"/>
    <mergeCell ref="AA67:AB67"/>
    <mergeCell ref="AG67:AL81"/>
    <mergeCell ref="A68:B68"/>
    <mergeCell ref="N68:O68"/>
    <mergeCell ref="AA68:AB68"/>
    <mergeCell ref="A69:B69"/>
    <mergeCell ref="A85:B85"/>
    <mergeCell ref="C85:D85"/>
    <mergeCell ref="E85:F85"/>
    <mergeCell ref="G85:G86"/>
    <mergeCell ref="H85:H86"/>
    <mergeCell ref="I85:L85"/>
    <mergeCell ref="A86:B86"/>
    <mergeCell ref="C86:D86"/>
    <mergeCell ref="E86:F86"/>
    <mergeCell ref="I86:L86"/>
    <mergeCell ref="A73:F81"/>
    <mergeCell ref="N73:S81"/>
    <mergeCell ref="AA73:AF81"/>
    <mergeCell ref="B83:L84"/>
    <mergeCell ref="O83:Y84"/>
    <mergeCell ref="AB83:AL84"/>
    <mergeCell ref="AD71:AF71"/>
    <mergeCell ref="A72:B72"/>
    <mergeCell ref="D72:E72"/>
    <mergeCell ref="N72:O72"/>
    <mergeCell ref="Q72:R72"/>
    <mergeCell ref="AA72:AB72"/>
    <mergeCell ref="AD72:AE72"/>
    <mergeCell ref="D87:D88"/>
    <mergeCell ref="E87:E88"/>
    <mergeCell ref="F87:F88"/>
    <mergeCell ref="G87:G88"/>
    <mergeCell ref="AA85:AB85"/>
    <mergeCell ref="AC85:AD85"/>
    <mergeCell ref="AE85:AF85"/>
    <mergeCell ref="AG85:AG86"/>
    <mergeCell ref="AH85:AH86"/>
    <mergeCell ref="AI85:AL85"/>
    <mergeCell ref="AA86:AB86"/>
    <mergeCell ref="AC86:AD86"/>
    <mergeCell ref="AE86:AF86"/>
    <mergeCell ref="AI86:AL86"/>
    <mergeCell ref="N85:O85"/>
    <mergeCell ref="P85:Q85"/>
    <mergeCell ref="R85:S85"/>
    <mergeCell ref="T85:T86"/>
    <mergeCell ref="U85:U86"/>
    <mergeCell ref="V85:Y85"/>
    <mergeCell ref="N86:O86"/>
    <mergeCell ref="P86:Q86"/>
    <mergeCell ref="R86:S86"/>
    <mergeCell ref="V86:Y86"/>
    <mergeCell ref="A89:B89"/>
    <mergeCell ref="G89:K89"/>
    <mergeCell ref="N89:O89"/>
    <mergeCell ref="T89:X89"/>
    <mergeCell ref="AA89:AB89"/>
    <mergeCell ref="AG89:AK89"/>
    <mergeCell ref="AF87:AF88"/>
    <mergeCell ref="AG87:AG88"/>
    <mergeCell ref="AH87:AH88"/>
    <mergeCell ref="AI87:AI88"/>
    <mergeCell ref="AJ87:AK88"/>
    <mergeCell ref="AL87:AL88"/>
    <mergeCell ref="W87:X88"/>
    <mergeCell ref="Y87:Y88"/>
    <mergeCell ref="AA87:AB88"/>
    <mergeCell ref="AC87:AC88"/>
    <mergeCell ref="AD87:AD88"/>
    <mergeCell ref="AE87:AE88"/>
    <mergeCell ref="Q87:Q88"/>
    <mergeCell ref="R87:R88"/>
    <mergeCell ref="S87:S88"/>
    <mergeCell ref="T87:T88"/>
    <mergeCell ref="U87:U88"/>
    <mergeCell ref="V87:V88"/>
    <mergeCell ref="H87:H88"/>
    <mergeCell ref="I87:I88"/>
    <mergeCell ref="J87:K88"/>
    <mergeCell ref="L87:L88"/>
    <mergeCell ref="N87:O88"/>
    <mergeCell ref="P87:P88"/>
    <mergeCell ref="A87:B88"/>
    <mergeCell ref="C87:C88"/>
    <mergeCell ref="AA90:AB90"/>
    <mergeCell ref="AC90:AD90"/>
    <mergeCell ref="AE90:AF90"/>
    <mergeCell ref="AG90:AH90"/>
    <mergeCell ref="AI90:AJ90"/>
    <mergeCell ref="AK90:AL90"/>
    <mergeCell ref="N90:O90"/>
    <mergeCell ref="P90:Q90"/>
    <mergeCell ref="R90:S90"/>
    <mergeCell ref="T90:U90"/>
    <mergeCell ref="V90:W90"/>
    <mergeCell ref="X90:Y90"/>
    <mergeCell ref="A90:B90"/>
    <mergeCell ref="C90:D90"/>
    <mergeCell ref="E90:F90"/>
    <mergeCell ref="G90:H90"/>
    <mergeCell ref="I90:J90"/>
    <mergeCell ref="K90:L90"/>
    <mergeCell ref="AA91:AB92"/>
    <mergeCell ref="AC91:AD92"/>
    <mergeCell ref="AE91:AF92"/>
    <mergeCell ref="AG91:AH92"/>
    <mergeCell ref="AI91:AJ92"/>
    <mergeCell ref="AK91:AL92"/>
    <mergeCell ref="N91:O92"/>
    <mergeCell ref="P91:Q92"/>
    <mergeCell ref="R91:S92"/>
    <mergeCell ref="T91:U92"/>
    <mergeCell ref="V91:W92"/>
    <mergeCell ref="X91:Y92"/>
    <mergeCell ref="A91:B92"/>
    <mergeCell ref="C91:D92"/>
    <mergeCell ref="E91:F92"/>
    <mergeCell ref="G91:H92"/>
    <mergeCell ref="I91:J92"/>
    <mergeCell ref="K91:L92"/>
    <mergeCell ref="AA93:AB93"/>
    <mergeCell ref="AC93:AD93"/>
    <mergeCell ref="AE93:AF93"/>
    <mergeCell ref="AG93:AH93"/>
    <mergeCell ref="AI93:AJ93"/>
    <mergeCell ref="AK93:AL93"/>
    <mergeCell ref="N93:O93"/>
    <mergeCell ref="P93:Q93"/>
    <mergeCell ref="R93:S93"/>
    <mergeCell ref="T93:U93"/>
    <mergeCell ref="V93:W93"/>
    <mergeCell ref="X93:Y93"/>
    <mergeCell ref="A93:B93"/>
    <mergeCell ref="C93:D93"/>
    <mergeCell ref="E93:F93"/>
    <mergeCell ref="G93:H93"/>
    <mergeCell ref="I93:J93"/>
    <mergeCell ref="K93:L93"/>
    <mergeCell ref="AG95:AI96"/>
    <mergeCell ref="AJ95:AK96"/>
    <mergeCell ref="AL95:AL96"/>
    <mergeCell ref="G97:H97"/>
    <mergeCell ref="J97:K97"/>
    <mergeCell ref="T97:U97"/>
    <mergeCell ref="W97:X97"/>
    <mergeCell ref="AG97:AH97"/>
    <mergeCell ref="AJ97:AK97"/>
    <mergeCell ref="G95:I96"/>
    <mergeCell ref="J95:K96"/>
    <mergeCell ref="L95:L96"/>
    <mergeCell ref="T95:V96"/>
    <mergeCell ref="W95:X96"/>
    <mergeCell ref="Y95:Y96"/>
    <mergeCell ref="A94:F94"/>
    <mergeCell ref="G94:L94"/>
    <mergeCell ref="N94:S94"/>
    <mergeCell ref="T94:Y94"/>
    <mergeCell ref="AA94:AF94"/>
    <mergeCell ref="AG94:AL94"/>
    <mergeCell ref="AA99:AC99"/>
    <mergeCell ref="AG99:AH99"/>
    <mergeCell ref="AJ99:AK99"/>
    <mergeCell ref="A100:C100"/>
    <mergeCell ref="G100:H100"/>
    <mergeCell ref="J100:K100"/>
    <mergeCell ref="N100:P100"/>
    <mergeCell ref="T100:U100"/>
    <mergeCell ref="W100:X100"/>
    <mergeCell ref="AA100:AC100"/>
    <mergeCell ref="A99:C99"/>
    <mergeCell ref="G99:H99"/>
    <mergeCell ref="J99:K99"/>
    <mergeCell ref="N99:P99"/>
    <mergeCell ref="T99:U99"/>
    <mergeCell ref="W99:X99"/>
    <mergeCell ref="A98:F98"/>
    <mergeCell ref="G98:L98"/>
    <mergeCell ref="N98:S98"/>
    <mergeCell ref="T98:Y98"/>
    <mergeCell ref="AA98:AF98"/>
    <mergeCell ref="AG98:AL98"/>
    <mergeCell ref="AJ101:AK101"/>
    <mergeCell ref="A102:C102"/>
    <mergeCell ref="G102:H102"/>
    <mergeCell ref="J102:K102"/>
    <mergeCell ref="N102:P102"/>
    <mergeCell ref="T102:U102"/>
    <mergeCell ref="W102:X102"/>
    <mergeCell ref="AA102:AC102"/>
    <mergeCell ref="AG102:AH102"/>
    <mergeCell ref="AJ102:AK102"/>
    <mergeCell ref="AG100:AH100"/>
    <mergeCell ref="AJ100:AK100"/>
    <mergeCell ref="A101:C101"/>
    <mergeCell ref="G101:H101"/>
    <mergeCell ref="J101:K101"/>
    <mergeCell ref="N101:P101"/>
    <mergeCell ref="T101:U101"/>
    <mergeCell ref="W101:X101"/>
    <mergeCell ref="AA101:AC101"/>
    <mergeCell ref="AG101:AH101"/>
    <mergeCell ref="W104:X104"/>
    <mergeCell ref="AA104:AD104"/>
    <mergeCell ref="AE104:AF104"/>
    <mergeCell ref="AG104:AH104"/>
    <mergeCell ref="AJ104:AK104"/>
    <mergeCell ref="A105:B105"/>
    <mergeCell ref="C105:D105"/>
    <mergeCell ref="E105:F105"/>
    <mergeCell ref="G105:H105"/>
    <mergeCell ref="J105:K105"/>
    <mergeCell ref="AA103:AC103"/>
    <mergeCell ref="AG103:AH103"/>
    <mergeCell ref="AJ103:AK103"/>
    <mergeCell ref="A104:D104"/>
    <mergeCell ref="E104:F104"/>
    <mergeCell ref="G104:H104"/>
    <mergeCell ref="J104:K104"/>
    <mergeCell ref="N104:Q104"/>
    <mergeCell ref="R104:S104"/>
    <mergeCell ref="T104:U104"/>
    <mergeCell ref="A103:C103"/>
    <mergeCell ref="G103:H103"/>
    <mergeCell ref="J103:K103"/>
    <mergeCell ref="N103:P103"/>
    <mergeCell ref="T103:U103"/>
    <mergeCell ref="W103:X103"/>
    <mergeCell ref="AE106:AF106"/>
    <mergeCell ref="AG106:AH106"/>
    <mergeCell ref="AJ106:AK106"/>
    <mergeCell ref="A107:F107"/>
    <mergeCell ref="G107:L107"/>
    <mergeCell ref="N107:S107"/>
    <mergeCell ref="T107:Y107"/>
    <mergeCell ref="AA107:AF107"/>
    <mergeCell ref="AG107:AL107"/>
    <mergeCell ref="P106:Q106"/>
    <mergeCell ref="R106:S106"/>
    <mergeCell ref="T106:U106"/>
    <mergeCell ref="W106:X106"/>
    <mergeCell ref="AA106:AB106"/>
    <mergeCell ref="AC106:AD106"/>
    <mergeCell ref="AC105:AD105"/>
    <mergeCell ref="AE105:AF105"/>
    <mergeCell ref="AG105:AH105"/>
    <mergeCell ref="AJ105:AK105"/>
    <mergeCell ref="A106:B106"/>
    <mergeCell ref="C106:D106"/>
    <mergeCell ref="E106:F106"/>
    <mergeCell ref="G106:H106"/>
    <mergeCell ref="J106:K106"/>
    <mergeCell ref="N106:O106"/>
    <mergeCell ref="N105:O105"/>
    <mergeCell ref="P105:Q105"/>
    <mergeCell ref="R105:S105"/>
    <mergeCell ref="T105:U105"/>
    <mergeCell ref="W105:X105"/>
    <mergeCell ref="AA105:AB105"/>
    <mergeCell ref="N110:O110"/>
    <mergeCell ref="AA110:AB110"/>
    <mergeCell ref="A111:B111"/>
    <mergeCell ref="N111:O111"/>
    <mergeCell ref="AA111:AB111"/>
    <mergeCell ref="A112:C112"/>
    <mergeCell ref="D112:F112"/>
    <mergeCell ref="N112:P112"/>
    <mergeCell ref="Q112:S112"/>
    <mergeCell ref="AA112:AC112"/>
    <mergeCell ref="A108:B108"/>
    <mergeCell ref="G108:L122"/>
    <mergeCell ref="N108:O108"/>
    <mergeCell ref="T108:Y122"/>
    <mergeCell ref="AA108:AB108"/>
    <mergeCell ref="AG108:AL122"/>
    <mergeCell ref="A109:B109"/>
    <mergeCell ref="N109:O109"/>
    <mergeCell ref="AA109:AB109"/>
    <mergeCell ref="A110:B110"/>
    <mergeCell ref="A126:B126"/>
    <mergeCell ref="C126:D126"/>
    <mergeCell ref="E126:F126"/>
    <mergeCell ref="G126:G127"/>
    <mergeCell ref="H126:H127"/>
    <mergeCell ref="I126:L126"/>
    <mergeCell ref="A127:B127"/>
    <mergeCell ref="C127:D127"/>
    <mergeCell ref="E127:F127"/>
    <mergeCell ref="I127:L127"/>
    <mergeCell ref="A114:F122"/>
    <mergeCell ref="N114:S122"/>
    <mergeCell ref="AA114:AF122"/>
    <mergeCell ref="B124:L125"/>
    <mergeCell ref="O124:Y125"/>
    <mergeCell ref="AB124:AL125"/>
    <mergeCell ref="AD112:AF112"/>
    <mergeCell ref="A113:B113"/>
    <mergeCell ref="D113:E113"/>
    <mergeCell ref="N113:O113"/>
    <mergeCell ref="Q113:R113"/>
    <mergeCell ref="AA113:AB113"/>
    <mergeCell ref="AD113:AE113"/>
    <mergeCell ref="D128:D129"/>
    <mergeCell ref="E128:E129"/>
    <mergeCell ref="F128:F129"/>
    <mergeCell ref="G128:G129"/>
    <mergeCell ref="AA126:AB126"/>
    <mergeCell ref="AC126:AD126"/>
    <mergeCell ref="AE126:AF126"/>
    <mergeCell ref="AG126:AG127"/>
    <mergeCell ref="AH126:AH127"/>
    <mergeCell ref="AI126:AL126"/>
    <mergeCell ref="AA127:AB127"/>
    <mergeCell ref="AC127:AD127"/>
    <mergeCell ref="AE127:AF127"/>
    <mergeCell ref="AI127:AL127"/>
    <mergeCell ref="N126:O126"/>
    <mergeCell ref="P126:Q126"/>
    <mergeCell ref="R126:S126"/>
    <mergeCell ref="T126:T127"/>
    <mergeCell ref="U126:U127"/>
    <mergeCell ref="V126:Y126"/>
    <mergeCell ref="N127:O127"/>
    <mergeCell ref="P127:Q127"/>
    <mergeCell ref="R127:S127"/>
    <mergeCell ref="V127:Y127"/>
    <mergeCell ref="A130:B130"/>
    <mergeCell ref="G130:K130"/>
    <mergeCell ref="N130:O130"/>
    <mergeCell ref="T130:X130"/>
    <mergeCell ref="AA130:AB130"/>
    <mergeCell ref="AG130:AK130"/>
    <mergeCell ref="AF128:AF129"/>
    <mergeCell ref="AG128:AG129"/>
    <mergeCell ref="AH128:AH129"/>
    <mergeCell ref="AI128:AI129"/>
    <mergeCell ref="AJ128:AK129"/>
    <mergeCell ref="AL128:AL129"/>
    <mergeCell ref="W128:X129"/>
    <mergeCell ref="Y128:Y129"/>
    <mergeCell ref="AA128:AB129"/>
    <mergeCell ref="AC128:AC129"/>
    <mergeCell ref="AD128:AD129"/>
    <mergeCell ref="AE128:AE129"/>
    <mergeCell ref="Q128:Q129"/>
    <mergeCell ref="R128:R129"/>
    <mergeCell ref="S128:S129"/>
    <mergeCell ref="T128:T129"/>
    <mergeCell ref="U128:U129"/>
    <mergeCell ref="V128:V129"/>
    <mergeCell ref="H128:H129"/>
    <mergeCell ref="I128:I129"/>
    <mergeCell ref="J128:K129"/>
    <mergeCell ref="L128:L129"/>
    <mergeCell ref="N128:O129"/>
    <mergeCell ref="P128:P129"/>
    <mergeCell ref="A128:B129"/>
    <mergeCell ref="C128:C129"/>
    <mergeCell ref="AA131:AB131"/>
    <mergeCell ref="AC131:AD131"/>
    <mergeCell ref="AE131:AF131"/>
    <mergeCell ref="AG131:AH131"/>
    <mergeCell ref="AI131:AJ131"/>
    <mergeCell ref="AK131:AL131"/>
    <mergeCell ref="N131:O131"/>
    <mergeCell ref="P131:Q131"/>
    <mergeCell ref="R131:S131"/>
    <mergeCell ref="T131:U131"/>
    <mergeCell ref="V131:W131"/>
    <mergeCell ref="X131:Y131"/>
    <mergeCell ref="A131:B131"/>
    <mergeCell ref="C131:D131"/>
    <mergeCell ref="E131:F131"/>
    <mergeCell ref="G131:H131"/>
    <mergeCell ref="I131:J131"/>
    <mergeCell ref="K131:L131"/>
    <mergeCell ref="AA132:AB133"/>
    <mergeCell ref="AC132:AD133"/>
    <mergeCell ref="AE132:AF133"/>
    <mergeCell ref="AG132:AH133"/>
    <mergeCell ref="AI132:AJ133"/>
    <mergeCell ref="AK132:AL133"/>
    <mergeCell ref="N132:O133"/>
    <mergeCell ref="P132:Q133"/>
    <mergeCell ref="R132:S133"/>
    <mergeCell ref="T132:U133"/>
    <mergeCell ref="V132:W133"/>
    <mergeCell ref="X132:Y133"/>
    <mergeCell ref="A132:B133"/>
    <mergeCell ref="C132:D133"/>
    <mergeCell ref="E132:F133"/>
    <mergeCell ref="G132:H133"/>
    <mergeCell ref="I132:J133"/>
    <mergeCell ref="K132:L133"/>
    <mergeCell ref="AA134:AB134"/>
    <mergeCell ref="AC134:AD134"/>
    <mergeCell ref="AE134:AF134"/>
    <mergeCell ref="AG134:AH134"/>
    <mergeCell ref="AI134:AJ134"/>
    <mergeCell ref="AK134:AL134"/>
    <mergeCell ref="N134:O134"/>
    <mergeCell ref="P134:Q134"/>
    <mergeCell ref="R134:S134"/>
    <mergeCell ref="T134:U134"/>
    <mergeCell ref="V134:W134"/>
    <mergeCell ref="X134:Y134"/>
    <mergeCell ref="A134:B134"/>
    <mergeCell ref="C134:D134"/>
    <mergeCell ref="E134:F134"/>
    <mergeCell ref="G134:H134"/>
    <mergeCell ref="I134:J134"/>
    <mergeCell ref="K134:L134"/>
    <mergeCell ref="AG136:AI137"/>
    <mergeCell ref="AJ136:AK137"/>
    <mergeCell ref="AL136:AL137"/>
    <mergeCell ref="G138:H138"/>
    <mergeCell ref="J138:K138"/>
    <mergeCell ref="T138:U138"/>
    <mergeCell ref="W138:X138"/>
    <mergeCell ref="AG138:AH138"/>
    <mergeCell ref="AJ138:AK138"/>
    <mergeCell ref="G136:I137"/>
    <mergeCell ref="J136:K137"/>
    <mergeCell ref="L136:L137"/>
    <mergeCell ref="T136:V137"/>
    <mergeCell ref="W136:X137"/>
    <mergeCell ref="Y136:Y137"/>
    <mergeCell ref="A135:F135"/>
    <mergeCell ref="G135:L135"/>
    <mergeCell ref="N135:S135"/>
    <mergeCell ref="T135:Y135"/>
    <mergeCell ref="AA135:AF135"/>
    <mergeCell ref="AG135:AL135"/>
    <mergeCell ref="AA140:AC140"/>
    <mergeCell ref="AG140:AH140"/>
    <mergeCell ref="AJ140:AK140"/>
    <mergeCell ref="A141:C141"/>
    <mergeCell ref="G141:H141"/>
    <mergeCell ref="J141:K141"/>
    <mergeCell ref="N141:P141"/>
    <mergeCell ref="T141:U141"/>
    <mergeCell ref="W141:X141"/>
    <mergeCell ref="AA141:AC141"/>
    <mergeCell ref="A140:C140"/>
    <mergeCell ref="G140:H140"/>
    <mergeCell ref="J140:K140"/>
    <mergeCell ref="N140:P140"/>
    <mergeCell ref="T140:U140"/>
    <mergeCell ref="W140:X140"/>
    <mergeCell ref="A139:F139"/>
    <mergeCell ref="G139:L139"/>
    <mergeCell ref="N139:S139"/>
    <mergeCell ref="T139:Y139"/>
    <mergeCell ref="AA139:AF139"/>
    <mergeCell ref="AG139:AL139"/>
    <mergeCell ref="AJ142:AK142"/>
    <mergeCell ref="A143:C143"/>
    <mergeCell ref="G143:H143"/>
    <mergeCell ref="J143:K143"/>
    <mergeCell ref="N143:P143"/>
    <mergeCell ref="T143:U143"/>
    <mergeCell ref="W143:X143"/>
    <mergeCell ref="AA143:AC143"/>
    <mergeCell ref="AG143:AH143"/>
    <mergeCell ref="AJ143:AK143"/>
    <mergeCell ref="AG141:AH141"/>
    <mergeCell ref="AJ141:AK141"/>
    <mergeCell ref="A142:C142"/>
    <mergeCell ref="G142:H142"/>
    <mergeCell ref="J142:K142"/>
    <mergeCell ref="N142:P142"/>
    <mergeCell ref="T142:U142"/>
    <mergeCell ref="W142:X142"/>
    <mergeCell ref="AA142:AC142"/>
    <mergeCell ref="AG142:AH142"/>
    <mergeCell ref="W145:X145"/>
    <mergeCell ref="AA145:AD145"/>
    <mergeCell ref="AE145:AF145"/>
    <mergeCell ref="AG145:AH145"/>
    <mergeCell ref="AJ145:AK145"/>
    <mergeCell ref="A146:B146"/>
    <mergeCell ref="C146:D146"/>
    <mergeCell ref="E146:F146"/>
    <mergeCell ref="G146:H146"/>
    <mergeCell ref="J146:K146"/>
    <mergeCell ref="AA144:AC144"/>
    <mergeCell ref="AG144:AH144"/>
    <mergeCell ref="AJ144:AK144"/>
    <mergeCell ref="A145:D145"/>
    <mergeCell ref="E145:F145"/>
    <mergeCell ref="G145:H145"/>
    <mergeCell ref="J145:K145"/>
    <mergeCell ref="N145:Q145"/>
    <mergeCell ref="R145:S145"/>
    <mergeCell ref="T145:U145"/>
    <mergeCell ref="A144:C144"/>
    <mergeCell ref="G144:H144"/>
    <mergeCell ref="J144:K144"/>
    <mergeCell ref="N144:P144"/>
    <mergeCell ref="T144:U144"/>
    <mergeCell ref="W144:X144"/>
    <mergeCell ref="AE147:AF147"/>
    <mergeCell ref="AG147:AH147"/>
    <mergeCell ref="AJ147:AK147"/>
    <mergeCell ref="A148:F148"/>
    <mergeCell ref="G148:L148"/>
    <mergeCell ref="N148:S148"/>
    <mergeCell ref="T148:Y148"/>
    <mergeCell ref="AA148:AF148"/>
    <mergeCell ref="AG148:AL148"/>
    <mergeCell ref="P147:Q147"/>
    <mergeCell ref="R147:S147"/>
    <mergeCell ref="T147:U147"/>
    <mergeCell ref="W147:X147"/>
    <mergeCell ref="AA147:AB147"/>
    <mergeCell ref="AC147:AD147"/>
    <mergeCell ref="AC146:AD146"/>
    <mergeCell ref="AE146:AF146"/>
    <mergeCell ref="AG146:AH146"/>
    <mergeCell ref="AJ146:AK146"/>
    <mergeCell ref="A147:B147"/>
    <mergeCell ref="C147:D147"/>
    <mergeCell ref="E147:F147"/>
    <mergeCell ref="G147:H147"/>
    <mergeCell ref="J147:K147"/>
    <mergeCell ref="N147:O147"/>
    <mergeCell ref="N146:O146"/>
    <mergeCell ref="P146:Q146"/>
    <mergeCell ref="R146:S146"/>
    <mergeCell ref="T146:U146"/>
    <mergeCell ref="W146:X146"/>
    <mergeCell ref="AA146:AB146"/>
    <mergeCell ref="N151:O151"/>
    <mergeCell ref="AA151:AB151"/>
    <mergeCell ref="A152:B152"/>
    <mergeCell ref="N152:O152"/>
    <mergeCell ref="AA152:AB152"/>
    <mergeCell ref="A153:C153"/>
    <mergeCell ref="D153:F153"/>
    <mergeCell ref="N153:P153"/>
    <mergeCell ref="Q153:S153"/>
    <mergeCell ref="AA153:AC153"/>
    <mergeCell ref="A149:B149"/>
    <mergeCell ref="G149:L163"/>
    <mergeCell ref="N149:O149"/>
    <mergeCell ref="T149:Y163"/>
    <mergeCell ref="AA149:AB149"/>
    <mergeCell ref="AG149:AL163"/>
    <mergeCell ref="A150:B150"/>
    <mergeCell ref="N150:O150"/>
    <mergeCell ref="AA150:AB150"/>
    <mergeCell ref="A151:B151"/>
    <mergeCell ref="A167:B167"/>
    <mergeCell ref="C167:D167"/>
    <mergeCell ref="E167:F167"/>
    <mergeCell ref="G167:G168"/>
    <mergeCell ref="H167:H168"/>
    <mergeCell ref="I167:L167"/>
    <mergeCell ref="A168:B168"/>
    <mergeCell ref="C168:D168"/>
    <mergeCell ref="E168:F168"/>
    <mergeCell ref="I168:L168"/>
    <mergeCell ref="A155:F163"/>
    <mergeCell ref="N155:S163"/>
    <mergeCell ref="AA155:AF163"/>
    <mergeCell ref="B165:L166"/>
    <mergeCell ref="O165:Y166"/>
    <mergeCell ref="AB165:AL166"/>
    <mergeCell ref="AD153:AF153"/>
    <mergeCell ref="A154:B154"/>
    <mergeCell ref="D154:E154"/>
    <mergeCell ref="N154:O154"/>
    <mergeCell ref="Q154:R154"/>
    <mergeCell ref="AA154:AB154"/>
    <mergeCell ref="AD154:AE154"/>
    <mergeCell ref="D169:D170"/>
    <mergeCell ref="E169:E170"/>
    <mergeCell ref="F169:F170"/>
    <mergeCell ref="G169:G170"/>
    <mergeCell ref="AA167:AB167"/>
    <mergeCell ref="AC167:AD167"/>
    <mergeCell ref="AE167:AF167"/>
    <mergeCell ref="AG167:AG168"/>
    <mergeCell ref="AH167:AH168"/>
    <mergeCell ref="AI167:AL167"/>
    <mergeCell ref="AA168:AB168"/>
    <mergeCell ref="AC168:AD168"/>
    <mergeCell ref="AE168:AF168"/>
    <mergeCell ref="AI168:AL168"/>
    <mergeCell ref="N167:O167"/>
    <mergeCell ref="P167:Q167"/>
    <mergeCell ref="R167:S167"/>
    <mergeCell ref="T167:T168"/>
    <mergeCell ref="U167:U168"/>
    <mergeCell ref="V167:Y167"/>
    <mergeCell ref="N168:O168"/>
    <mergeCell ref="P168:Q168"/>
    <mergeCell ref="R168:S168"/>
    <mergeCell ref="V168:Y168"/>
    <mergeCell ref="A171:B171"/>
    <mergeCell ref="G171:K171"/>
    <mergeCell ref="N171:O171"/>
    <mergeCell ref="T171:X171"/>
    <mergeCell ref="AA171:AB171"/>
    <mergeCell ref="AG171:AK171"/>
    <mergeCell ref="AF169:AF170"/>
    <mergeCell ref="AG169:AG170"/>
    <mergeCell ref="AH169:AH170"/>
    <mergeCell ref="AI169:AI170"/>
    <mergeCell ref="AJ169:AK170"/>
    <mergeCell ref="AL169:AL170"/>
    <mergeCell ref="W169:X170"/>
    <mergeCell ref="Y169:Y170"/>
    <mergeCell ref="AA169:AB170"/>
    <mergeCell ref="AC169:AC170"/>
    <mergeCell ref="AD169:AD170"/>
    <mergeCell ref="AE169:AE170"/>
    <mergeCell ref="Q169:Q170"/>
    <mergeCell ref="R169:R170"/>
    <mergeCell ref="S169:S170"/>
    <mergeCell ref="T169:T170"/>
    <mergeCell ref="U169:U170"/>
    <mergeCell ref="V169:V170"/>
    <mergeCell ref="H169:H170"/>
    <mergeCell ref="I169:I170"/>
    <mergeCell ref="J169:K170"/>
    <mergeCell ref="L169:L170"/>
    <mergeCell ref="N169:O170"/>
    <mergeCell ref="P169:P170"/>
    <mergeCell ref="A169:B170"/>
    <mergeCell ref="C169:C170"/>
    <mergeCell ref="AA172:AB172"/>
    <mergeCell ref="AC172:AD172"/>
    <mergeCell ref="AE172:AF172"/>
    <mergeCell ref="AG172:AH172"/>
    <mergeCell ref="AI172:AJ172"/>
    <mergeCell ref="AK172:AL172"/>
    <mergeCell ref="N172:O172"/>
    <mergeCell ref="P172:Q172"/>
    <mergeCell ref="R172:S172"/>
    <mergeCell ref="T172:U172"/>
    <mergeCell ref="V172:W172"/>
    <mergeCell ref="X172:Y172"/>
    <mergeCell ref="A172:B172"/>
    <mergeCell ref="C172:D172"/>
    <mergeCell ref="E172:F172"/>
    <mergeCell ref="G172:H172"/>
    <mergeCell ref="I172:J172"/>
    <mergeCell ref="K172:L172"/>
    <mergeCell ref="AA173:AB174"/>
    <mergeCell ref="AC173:AD174"/>
    <mergeCell ref="AE173:AF174"/>
    <mergeCell ref="AG173:AH174"/>
    <mergeCell ref="AI173:AJ174"/>
    <mergeCell ref="AK173:AL174"/>
    <mergeCell ref="N173:O174"/>
    <mergeCell ref="P173:Q174"/>
    <mergeCell ref="R173:S174"/>
    <mergeCell ref="T173:U174"/>
    <mergeCell ref="V173:W174"/>
    <mergeCell ref="X173:Y174"/>
    <mergeCell ref="A173:B174"/>
    <mergeCell ref="C173:D174"/>
    <mergeCell ref="E173:F174"/>
    <mergeCell ref="G173:H174"/>
    <mergeCell ref="I173:J174"/>
    <mergeCell ref="K173:L174"/>
    <mergeCell ref="AA175:AB175"/>
    <mergeCell ref="AC175:AD175"/>
    <mergeCell ref="AE175:AF175"/>
    <mergeCell ref="AG175:AH175"/>
    <mergeCell ref="AI175:AJ175"/>
    <mergeCell ref="AK175:AL175"/>
    <mergeCell ref="N175:O175"/>
    <mergeCell ref="P175:Q175"/>
    <mergeCell ref="R175:S175"/>
    <mergeCell ref="T175:U175"/>
    <mergeCell ref="V175:W175"/>
    <mergeCell ref="X175:Y175"/>
    <mergeCell ref="A175:B175"/>
    <mergeCell ref="C175:D175"/>
    <mergeCell ref="E175:F175"/>
    <mergeCell ref="G175:H175"/>
    <mergeCell ref="I175:J175"/>
    <mergeCell ref="K175:L175"/>
    <mergeCell ref="AG177:AI178"/>
    <mergeCell ref="AJ177:AK178"/>
    <mergeCell ref="AL177:AL178"/>
    <mergeCell ref="G179:H179"/>
    <mergeCell ref="J179:K179"/>
    <mergeCell ref="T179:U179"/>
    <mergeCell ref="W179:X179"/>
    <mergeCell ref="AG179:AH179"/>
    <mergeCell ref="AJ179:AK179"/>
    <mergeCell ref="G177:I178"/>
    <mergeCell ref="J177:K178"/>
    <mergeCell ref="L177:L178"/>
    <mergeCell ref="T177:V178"/>
    <mergeCell ref="W177:X178"/>
    <mergeCell ref="Y177:Y178"/>
    <mergeCell ref="A176:F176"/>
    <mergeCell ref="G176:L176"/>
    <mergeCell ref="N176:S176"/>
    <mergeCell ref="T176:Y176"/>
    <mergeCell ref="AA176:AF176"/>
    <mergeCell ref="AG176:AL176"/>
    <mergeCell ref="AA181:AC181"/>
    <mergeCell ref="AG181:AH181"/>
    <mergeCell ref="AJ181:AK181"/>
    <mergeCell ref="A182:C182"/>
    <mergeCell ref="G182:H182"/>
    <mergeCell ref="J182:K182"/>
    <mergeCell ref="N182:P182"/>
    <mergeCell ref="T182:U182"/>
    <mergeCell ref="W182:X182"/>
    <mergeCell ref="AA182:AC182"/>
    <mergeCell ref="A181:C181"/>
    <mergeCell ref="G181:H181"/>
    <mergeCell ref="J181:K181"/>
    <mergeCell ref="N181:P181"/>
    <mergeCell ref="T181:U181"/>
    <mergeCell ref="W181:X181"/>
    <mergeCell ref="A180:F180"/>
    <mergeCell ref="G180:L180"/>
    <mergeCell ref="N180:S180"/>
    <mergeCell ref="T180:Y180"/>
    <mergeCell ref="AA180:AF180"/>
    <mergeCell ref="AG180:AL180"/>
    <mergeCell ref="AJ183:AK183"/>
    <mergeCell ref="A184:C184"/>
    <mergeCell ref="G184:H184"/>
    <mergeCell ref="J184:K184"/>
    <mergeCell ref="N184:P184"/>
    <mergeCell ref="T184:U184"/>
    <mergeCell ref="W184:X184"/>
    <mergeCell ref="AA184:AC184"/>
    <mergeCell ref="AG184:AH184"/>
    <mergeCell ref="AJ184:AK184"/>
    <mergeCell ref="AG182:AH182"/>
    <mergeCell ref="AJ182:AK182"/>
    <mergeCell ref="A183:C183"/>
    <mergeCell ref="G183:H183"/>
    <mergeCell ref="J183:K183"/>
    <mergeCell ref="N183:P183"/>
    <mergeCell ref="T183:U183"/>
    <mergeCell ref="W183:X183"/>
    <mergeCell ref="AA183:AC183"/>
    <mergeCell ref="AG183:AH183"/>
    <mergeCell ref="W186:X186"/>
    <mergeCell ref="AA186:AD186"/>
    <mergeCell ref="AE186:AF186"/>
    <mergeCell ref="AG186:AH186"/>
    <mergeCell ref="AJ186:AK186"/>
    <mergeCell ref="A187:B187"/>
    <mergeCell ref="C187:D187"/>
    <mergeCell ref="E187:F187"/>
    <mergeCell ref="G187:H187"/>
    <mergeCell ref="J187:K187"/>
    <mergeCell ref="AA185:AC185"/>
    <mergeCell ref="AG185:AH185"/>
    <mergeCell ref="AJ185:AK185"/>
    <mergeCell ref="A186:D186"/>
    <mergeCell ref="E186:F186"/>
    <mergeCell ref="G186:H186"/>
    <mergeCell ref="J186:K186"/>
    <mergeCell ref="N186:Q186"/>
    <mergeCell ref="R186:S186"/>
    <mergeCell ref="T186:U186"/>
    <mergeCell ref="A185:C185"/>
    <mergeCell ref="G185:H185"/>
    <mergeCell ref="J185:K185"/>
    <mergeCell ref="N185:P185"/>
    <mergeCell ref="T185:U185"/>
    <mergeCell ref="W185:X185"/>
    <mergeCell ref="AE188:AF188"/>
    <mergeCell ref="AG188:AH188"/>
    <mergeCell ref="AJ188:AK188"/>
    <mergeCell ref="A189:F189"/>
    <mergeCell ref="G189:L189"/>
    <mergeCell ref="N189:S189"/>
    <mergeCell ref="T189:Y189"/>
    <mergeCell ref="AA189:AF189"/>
    <mergeCell ref="AG189:AL189"/>
    <mergeCell ref="P188:Q188"/>
    <mergeCell ref="R188:S188"/>
    <mergeCell ref="T188:U188"/>
    <mergeCell ref="W188:X188"/>
    <mergeCell ref="AA188:AB188"/>
    <mergeCell ref="AC188:AD188"/>
    <mergeCell ref="AC187:AD187"/>
    <mergeCell ref="AE187:AF187"/>
    <mergeCell ref="AG187:AH187"/>
    <mergeCell ref="AJ187:AK187"/>
    <mergeCell ref="A188:B188"/>
    <mergeCell ref="C188:D188"/>
    <mergeCell ref="E188:F188"/>
    <mergeCell ref="G188:H188"/>
    <mergeCell ref="J188:K188"/>
    <mergeCell ref="N188:O188"/>
    <mergeCell ref="N187:O187"/>
    <mergeCell ref="P187:Q187"/>
    <mergeCell ref="R187:S187"/>
    <mergeCell ref="T187:U187"/>
    <mergeCell ref="W187:X187"/>
    <mergeCell ref="AA187:AB187"/>
    <mergeCell ref="N192:O192"/>
    <mergeCell ref="AA192:AB192"/>
    <mergeCell ref="A193:B193"/>
    <mergeCell ref="N193:O193"/>
    <mergeCell ref="AA193:AB193"/>
    <mergeCell ref="A194:C194"/>
    <mergeCell ref="D194:F194"/>
    <mergeCell ref="N194:P194"/>
    <mergeCell ref="Q194:S194"/>
    <mergeCell ref="AA194:AC194"/>
    <mergeCell ref="A190:B190"/>
    <mergeCell ref="G190:L204"/>
    <mergeCell ref="N190:O190"/>
    <mergeCell ref="T190:Y204"/>
    <mergeCell ref="AA190:AB190"/>
    <mergeCell ref="AG190:AL204"/>
    <mergeCell ref="A191:B191"/>
    <mergeCell ref="N191:O191"/>
    <mergeCell ref="AA191:AB191"/>
    <mergeCell ref="A192:B192"/>
    <mergeCell ref="A208:B208"/>
    <mergeCell ref="C208:D208"/>
    <mergeCell ref="E208:F208"/>
    <mergeCell ref="G208:G209"/>
    <mergeCell ref="H208:H209"/>
    <mergeCell ref="I208:L208"/>
    <mergeCell ref="A209:B209"/>
    <mergeCell ref="C209:D209"/>
    <mergeCell ref="E209:F209"/>
    <mergeCell ref="I209:L209"/>
    <mergeCell ref="A196:F204"/>
    <mergeCell ref="N196:S204"/>
    <mergeCell ref="AA196:AF204"/>
    <mergeCell ref="B206:L207"/>
    <mergeCell ref="O206:Y207"/>
    <mergeCell ref="AB206:AL207"/>
    <mergeCell ref="AD194:AF194"/>
    <mergeCell ref="A195:B195"/>
    <mergeCell ref="D195:E195"/>
    <mergeCell ref="N195:O195"/>
    <mergeCell ref="Q195:R195"/>
    <mergeCell ref="AA195:AB195"/>
    <mergeCell ref="AD195:AE195"/>
    <mergeCell ref="D210:D211"/>
    <mergeCell ref="E210:E211"/>
    <mergeCell ref="F210:F211"/>
    <mergeCell ref="G210:G211"/>
    <mergeCell ref="AA208:AB208"/>
    <mergeCell ref="AC208:AD208"/>
    <mergeCell ref="AE208:AF208"/>
    <mergeCell ref="AG208:AG209"/>
    <mergeCell ref="AH208:AH209"/>
    <mergeCell ref="AI208:AL208"/>
    <mergeCell ref="AA209:AB209"/>
    <mergeCell ref="AC209:AD209"/>
    <mergeCell ref="AE209:AF209"/>
    <mergeCell ref="AI209:AL209"/>
    <mergeCell ref="N208:O208"/>
    <mergeCell ref="P208:Q208"/>
    <mergeCell ref="R208:S208"/>
    <mergeCell ref="T208:T209"/>
    <mergeCell ref="U208:U209"/>
    <mergeCell ref="V208:Y208"/>
    <mergeCell ref="N209:O209"/>
    <mergeCell ref="P209:Q209"/>
    <mergeCell ref="R209:S209"/>
    <mergeCell ref="V209:Y209"/>
    <mergeCell ref="A212:B212"/>
    <mergeCell ref="G212:K212"/>
    <mergeCell ref="N212:O212"/>
    <mergeCell ref="T212:X212"/>
    <mergeCell ref="AA212:AB212"/>
    <mergeCell ref="AG212:AK212"/>
    <mergeCell ref="AF210:AF211"/>
    <mergeCell ref="AG210:AG211"/>
    <mergeCell ref="AH210:AH211"/>
    <mergeCell ref="AI210:AI211"/>
    <mergeCell ref="AJ210:AK211"/>
    <mergeCell ref="AL210:AL211"/>
    <mergeCell ref="W210:X211"/>
    <mergeCell ref="Y210:Y211"/>
    <mergeCell ref="AA210:AB211"/>
    <mergeCell ref="AC210:AC211"/>
    <mergeCell ref="AD210:AD211"/>
    <mergeCell ref="AE210:AE211"/>
    <mergeCell ref="Q210:Q211"/>
    <mergeCell ref="R210:R211"/>
    <mergeCell ref="S210:S211"/>
    <mergeCell ref="T210:T211"/>
    <mergeCell ref="U210:U211"/>
    <mergeCell ref="V210:V211"/>
    <mergeCell ref="H210:H211"/>
    <mergeCell ref="I210:I211"/>
    <mergeCell ref="J210:K211"/>
    <mergeCell ref="L210:L211"/>
    <mergeCell ref="N210:O211"/>
    <mergeCell ref="P210:P211"/>
    <mergeCell ref="A210:B211"/>
    <mergeCell ref="C210:C211"/>
    <mergeCell ref="AA213:AB213"/>
    <mergeCell ref="AC213:AD213"/>
    <mergeCell ref="AE213:AF213"/>
    <mergeCell ref="AG213:AH213"/>
    <mergeCell ref="AI213:AJ213"/>
    <mergeCell ref="AK213:AL213"/>
    <mergeCell ref="N213:O213"/>
    <mergeCell ref="P213:Q213"/>
    <mergeCell ref="R213:S213"/>
    <mergeCell ref="T213:U213"/>
    <mergeCell ref="V213:W213"/>
    <mergeCell ref="X213:Y213"/>
    <mergeCell ref="A213:B213"/>
    <mergeCell ref="C213:D213"/>
    <mergeCell ref="E213:F213"/>
    <mergeCell ref="G213:H213"/>
    <mergeCell ref="I213:J213"/>
    <mergeCell ref="K213:L213"/>
    <mergeCell ref="AA214:AB215"/>
    <mergeCell ref="AC214:AD215"/>
    <mergeCell ref="AE214:AF215"/>
    <mergeCell ref="AG214:AH215"/>
    <mergeCell ref="AI214:AJ215"/>
    <mergeCell ref="AK214:AL215"/>
    <mergeCell ref="N214:O215"/>
    <mergeCell ref="P214:Q215"/>
    <mergeCell ref="R214:S215"/>
    <mergeCell ref="T214:U215"/>
    <mergeCell ref="V214:W215"/>
    <mergeCell ref="X214:Y215"/>
    <mergeCell ref="A214:B215"/>
    <mergeCell ref="C214:D215"/>
    <mergeCell ref="E214:F215"/>
    <mergeCell ref="G214:H215"/>
    <mergeCell ref="I214:J215"/>
    <mergeCell ref="K214:L215"/>
    <mergeCell ref="AA216:AB216"/>
    <mergeCell ref="AC216:AD216"/>
    <mergeCell ref="AE216:AF216"/>
    <mergeCell ref="AG216:AH216"/>
    <mergeCell ref="AI216:AJ216"/>
    <mergeCell ref="AK216:AL216"/>
    <mergeCell ref="N216:O216"/>
    <mergeCell ref="P216:Q216"/>
    <mergeCell ref="R216:S216"/>
    <mergeCell ref="T216:U216"/>
    <mergeCell ref="V216:W216"/>
    <mergeCell ref="X216:Y216"/>
    <mergeCell ref="A216:B216"/>
    <mergeCell ref="C216:D216"/>
    <mergeCell ref="E216:F216"/>
    <mergeCell ref="G216:H216"/>
    <mergeCell ref="I216:J216"/>
    <mergeCell ref="K216:L216"/>
    <mergeCell ref="AG218:AI219"/>
    <mergeCell ref="AJ218:AK219"/>
    <mergeCell ref="AL218:AL219"/>
    <mergeCell ref="G220:H220"/>
    <mergeCell ref="J220:K220"/>
    <mergeCell ref="T220:U220"/>
    <mergeCell ref="W220:X220"/>
    <mergeCell ref="AG220:AH220"/>
    <mergeCell ref="AJ220:AK220"/>
    <mergeCell ref="G218:I219"/>
    <mergeCell ref="J218:K219"/>
    <mergeCell ref="L218:L219"/>
    <mergeCell ref="T218:V219"/>
    <mergeCell ref="W218:X219"/>
    <mergeCell ref="Y218:Y219"/>
    <mergeCell ref="A217:F217"/>
    <mergeCell ref="G217:L217"/>
    <mergeCell ref="N217:S217"/>
    <mergeCell ref="T217:Y217"/>
    <mergeCell ref="AA217:AF217"/>
    <mergeCell ref="AG217:AL217"/>
    <mergeCell ref="AA222:AC222"/>
    <mergeCell ref="AG222:AH222"/>
    <mergeCell ref="AJ222:AK222"/>
    <mergeCell ref="A223:C223"/>
    <mergeCell ref="G223:H223"/>
    <mergeCell ref="J223:K223"/>
    <mergeCell ref="N223:P223"/>
    <mergeCell ref="T223:U223"/>
    <mergeCell ref="W223:X223"/>
    <mergeCell ref="AA223:AC223"/>
    <mergeCell ref="A222:C222"/>
    <mergeCell ref="G222:H222"/>
    <mergeCell ref="J222:K222"/>
    <mergeCell ref="N222:P222"/>
    <mergeCell ref="T222:U222"/>
    <mergeCell ref="W222:X222"/>
    <mergeCell ref="A221:F221"/>
    <mergeCell ref="G221:L221"/>
    <mergeCell ref="N221:S221"/>
    <mergeCell ref="T221:Y221"/>
    <mergeCell ref="AA221:AF221"/>
    <mergeCell ref="AG221:AL221"/>
    <mergeCell ref="AJ224:AK224"/>
    <mergeCell ref="A225:C225"/>
    <mergeCell ref="G225:H225"/>
    <mergeCell ref="J225:K225"/>
    <mergeCell ref="N225:P225"/>
    <mergeCell ref="T225:U225"/>
    <mergeCell ref="W225:X225"/>
    <mergeCell ref="AA225:AC225"/>
    <mergeCell ref="AG225:AH225"/>
    <mergeCell ref="AJ225:AK225"/>
    <mergeCell ref="AG223:AH223"/>
    <mergeCell ref="AJ223:AK223"/>
    <mergeCell ref="A224:C224"/>
    <mergeCell ref="G224:H224"/>
    <mergeCell ref="J224:K224"/>
    <mergeCell ref="N224:P224"/>
    <mergeCell ref="T224:U224"/>
    <mergeCell ref="W224:X224"/>
    <mergeCell ref="AA224:AC224"/>
    <mergeCell ref="AG224:AH224"/>
    <mergeCell ref="W227:X227"/>
    <mergeCell ref="AA227:AD227"/>
    <mergeCell ref="AE227:AF227"/>
    <mergeCell ref="AG227:AH227"/>
    <mergeCell ref="AJ227:AK227"/>
    <mergeCell ref="A228:B228"/>
    <mergeCell ref="C228:D228"/>
    <mergeCell ref="E228:F228"/>
    <mergeCell ref="G228:H228"/>
    <mergeCell ref="J228:K228"/>
    <mergeCell ref="AA226:AC226"/>
    <mergeCell ref="AG226:AH226"/>
    <mergeCell ref="AJ226:AK226"/>
    <mergeCell ref="A227:D227"/>
    <mergeCell ref="E227:F227"/>
    <mergeCell ref="G227:H227"/>
    <mergeCell ref="J227:K227"/>
    <mergeCell ref="N227:Q227"/>
    <mergeCell ref="R227:S227"/>
    <mergeCell ref="T227:U227"/>
    <mergeCell ref="A226:C226"/>
    <mergeCell ref="G226:H226"/>
    <mergeCell ref="J226:K226"/>
    <mergeCell ref="N226:P226"/>
    <mergeCell ref="T226:U226"/>
    <mergeCell ref="W226:X226"/>
    <mergeCell ref="AE229:AF229"/>
    <mergeCell ref="AG229:AH229"/>
    <mergeCell ref="AJ229:AK229"/>
    <mergeCell ref="A230:F230"/>
    <mergeCell ref="G230:L230"/>
    <mergeCell ref="N230:S230"/>
    <mergeCell ref="T230:Y230"/>
    <mergeCell ref="AA230:AF230"/>
    <mergeCell ref="AG230:AL230"/>
    <mergeCell ref="P229:Q229"/>
    <mergeCell ref="R229:S229"/>
    <mergeCell ref="T229:U229"/>
    <mergeCell ref="W229:X229"/>
    <mergeCell ref="AA229:AB229"/>
    <mergeCell ref="AC229:AD229"/>
    <mergeCell ref="AC228:AD228"/>
    <mergeCell ref="AE228:AF228"/>
    <mergeCell ref="AG228:AH228"/>
    <mergeCell ref="AJ228:AK228"/>
    <mergeCell ref="A229:B229"/>
    <mergeCell ref="C229:D229"/>
    <mergeCell ref="E229:F229"/>
    <mergeCell ref="G229:H229"/>
    <mergeCell ref="J229:K229"/>
    <mergeCell ref="N229:O229"/>
    <mergeCell ref="N228:O228"/>
    <mergeCell ref="P228:Q228"/>
    <mergeCell ref="R228:S228"/>
    <mergeCell ref="T228:U228"/>
    <mergeCell ref="W228:X228"/>
    <mergeCell ref="AA228:AB228"/>
    <mergeCell ref="N233:O233"/>
    <mergeCell ref="AA233:AB233"/>
    <mergeCell ref="A234:B234"/>
    <mergeCell ref="N234:O234"/>
    <mergeCell ref="AA234:AB234"/>
    <mergeCell ref="A235:C235"/>
    <mergeCell ref="D235:F235"/>
    <mergeCell ref="N235:P235"/>
    <mergeCell ref="Q235:S235"/>
    <mergeCell ref="AA235:AC235"/>
    <mergeCell ref="A231:B231"/>
    <mergeCell ref="G231:L245"/>
    <mergeCell ref="N231:O231"/>
    <mergeCell ref="T231:Y245"/>
    <mergeCell ref="AA231:AB231"/>
    <mergeCell ref="AG231:AL245"/>
    <mergeCell ref="A232:B232"/>
    <mergeCell ref="N232:O232"/>
    <mergeCell ref="AA232:AB232"/>
    <mergeCell ref="A233:B233"/>
    <mergeCell ref="A237:F245"/>
    <mergeCell ref="N237:S245"/>
    <mergeCell ref="AA237:AF245"/>
    <mergeCell ref="B247:L248"/>
    <mergeCell ref="A249:B249"/>
    <mergeCell ref="C249:D249"/>
    <mergeCell ref="E249:F249"/>
    <mergeCell ref="G249:G250"/>
    <mergeCell ref="H249:H250"/>
    <mergeCell ref="I249:L249"/>
    <mergeCell ref="AD235:AF235"/>
    <mergeCell ref="A236:B236"/>
    <mergeCell ref="D236:E236"/>
    <mergeCell ref="N236:O236"/>
    <mergeCell ref="Q236:R236"/>
    <mergeCell ref="AA236:AB236"/>
    <mergeCell ref="AD236:AE236"/>
    <mergeCell ref="A254:B254"/>
    <mergeCell ref="C254:D254"/>
    <mergeCell ref="E254:F254"/>
    <mergeCell ref="G254:H254"/>
    <mergeCell ref="I254:J254"/>
    <mergeCell ref="K254:L254"/>
    <mergeCell ref="H251:H252"/>
    <mergeCell ref="I251:I252"/>
    <mergeCell ref="J251:K252"/>
    <mergeCell ref="L251:L252"/>
    <mergeCell ref="A253:B253"/>
    <mergeCell ref="G253:K253"/>
    <mergeCell ref="A250:B250"/>
    <mergeCell ref="C250:D250"/>
    <mergeCell ref="E250:F250"/>
    <mergeCell ref="I250:L250"/>
    <mergeCell ref="A251:B252"/>
    <mergeCell ref="C251:C252"/>
    <mergeCell ref="D251:D252"/>
    <mergeCell ref="E251:E252"/>
    <mergeCell ref="F251:F252"/>
    <mergeCell ref="G251:G252"/>
    <mergeCell ref="A258:F258"/>
    <mergeCell ref="G258:L258"/>
    <mergeCell ref="G259:I260"/>
    <mergeCell ref="J259:K260"/>
    <mergeCell ref="L259:L260"/>
    <mergeCell ref="G261:H261"/>
    <mergeCell ref="J261:K261"/>
    <mergeCell ref="A257:B257"/>
    <mergeCell ref="C257:D257"/>
    <mergeCell ref="E257:F257"/>
    <mergeCell ref="G257:H257"/>
    <mergeCell ref="I257:J257"/>
    <mergeCell ref="K257:L257"/>
    <mergeCell ref="A255:B256"/>
    <mergeCell ref="C255:D256"/>
    <mergeCell ref="E255:F256"/>
    <mergeCell ref="G255:H256"/>
    <mergeCell ref="I255:J256"/>
    <mergeCell ref="K255:L256"/>
    <mergeCell ref="E268:F268"/>
    <mergeCell ref="G268:H268"/>
    <mergeCell ref="J268:K268"/>
    <mergeCell ref="A265:C265"/>
    <mergeCell ref="G265:H265"/>
    <mergeCell ref="J265:K265"/>
    <mergeCell ref="A266:C266"/>
    <mergeCell ref="G266:H266"/>
    <mergeCell ref="J266:K266"/>
    <mergeCell ref="A262:F262"/>
    <mergeCell ref="G262:L262"/>
    <mergeCell ref="A263:C263"/>
    <mergeCell ref="G263:H263"/>
    <mergeCell ref="J263:K263"/>
    <mergeCell ref="A264:C264"/>
    <mergeCell ref="G264:H264"/>
    <mergeCell ref="J264:K264"/>
    <mergeCell ref="O247:Y248"/>
    <mergeCell ref="N249:O249"/>
    <mergeCell ref="P249:Q249"/>
    <mergeCell ref="R249:S249"/>
    <mergeCell ref="T249:T250"/>
    <mergeCell ref="U249:U250"/>
    <mergeCell ref="V249:Y249"/>
    <mergeCell ref="N250:O250"/>
    <mergeCell ref="A271:F271"/>
    <mergeCell ref="G271:L271"/>
    <mergeCell ref="A272:B272"/>
    <mergeCell ref="G272:L286"/>
    <mergeCell ref="A273:B273"/>
    <mergeCell ref="A274:B274"/>
    <mergeCell ref="A275:B275"/>
    <mergeCell ref="A276:C276"/>
    <mergeCell ref="D276:F276"/>
    <mergeCell ref="A277:B277"/>
    <mergeCell ref="A269:B269"/>
    <mergeCell ref="C269:D269"/>
    <mergeCell ref="E269:F269"/>
    <mergeCell ref="G269:H269"/>
    <mergeCell ref="J269:K269"/>
    <mergeCell ref="A270:B270"/>
    <mergeCell ref="C270:D270"/>
    <mergeCell ref="E270:F270"/>
    <mergeCell ref="G270:H270"/>
    <mergeCell ref="J270:K270"/>
    <mergeCell ref="A267:C267"/>
    <mergeCell ref="G267:H267"/>
    <mergeCell ref="J267:K267"/>
    <mergeCell ref="A268:D268"/>
    <mergeCell ref="V251:V252"/>
    <mergeCell ref="W251:X252"/>
    <mergeCell ref="Y251:Y252"/>
    <mergeCell ref="N253:O253"/>
    <mergeCell ref="T253:X253"/>
    <mergeCell ref="N254:O254"/>
    <mergeCell ref="P254:Q254"/>
    <mergeCell ref="R254:S254"/>
    <mergeCell ref="T254:U254"/>
    <mergeCell ref="V254:W254"/>
    <mergeCell ref="P250:Q250"/>
    <mergeCell ref="R250:S250"/>
    <mergeCell ref="V250:Y250"/>
    <mergeCell ref="N251:O252"/>
    <mergeCell ref="P251:P252"/>
    <mergeCell ref="Q251:Q252"/>
    <mergeCell ref="R251:R252"/>
    <mergeCell ref="S251:S252"/>
    <mergeCell ref="T251:T252"/>
    <mergeCell ref="U251:U252"/>
    <mergeCell ref="N258:S258"/>
    <mergeCell ref="T258:Y258"/>
    <mergeCell ref="T259:V260"/>
    <mergeCell ref="W259:X260"/>
    <mergeCell ref="Y259:Y260"/>
    <mergeCell ref="T261:U261"/>
    <mergeCell ref="W261:X261"/>
    <mergeCell ref="N257:O257"/>
    <mergeCell ref="P257:Q257"/>
    <mergeCell ref="R257:S257"/>
    <mergeCell ref="T257:U257"/>
    <mergeCell ref="V257:W257"/>
    <mergeCell ref="X257:Y257"/>
    <mergeCell ref="X254:Y254"/>
    <mergeCell ref="N255:O256"/>
    <mergeCell ref="P255:Q256"/>
    <mergeCell ref="R255:S256"/>
    <mergeCell ref="T255:U256"/>
    <mergeCell ref="V255:W256"/>
    <mergeCell ref="X255:Y256"/>
    <mergeCell ref="R268:S268"/>
    <mergeCell ref="T268:U268"/>
    <mergeCell ref="W268:X268"/>
    <mergeCell ref="N265:P265"/>
    <mergeCell ref="T265:U265"/>
    <mergeCell ref="W265:X265"/>
    <mergeCell ref="N266:P266"/>
    <mergeCell ref="T266:U266"/>
    <mergeCell ref="W266:X266"/>
    <mergeCell ref="N262:S262"/>
    <mergeCell ref="T262:Y262"/>
    <mergeCell ref="N263:P263"/>
    <mergeCell ref="T263:U263"/>
    <mergeCell ref="W263:X263"/>
    <mergeCell ref="N264:P264"/>
    <mergeCell ref="T264:U264"/>
    <mergeCell ref="W264:X264"/>
    <mergeCell ref="AB247:AL248"/>
    <mergeCell ref="AA249:AB249"/>
    <mergeCell ref="AC249:AD249"/>
    <mergeCell ref="AE249:AF249"/>
    <mergeCell ref="AG249:AG250"/>
    <mergeCell ref="AH249:AH250"/>
    <mergeCell ref="AI249:AL249"/>
    <mergeCell ref="AA250:AB250"/>
    <mergeCell ref="N271:S271"/>
    <mergeCell ref="T271:Y271"/>
    <mergeCell ref="N272:O272"/>
    <mergeCell ref="T272:Y286"/>
    <mergeCell ref="N273:O273"/>
    <mergeCell ref="N274:O274"/>
    <mergeCell ref="N275:O275"/>
    <mergeCell ref="N276:P276"/>
    <mergeCell ref="Q276:S276"/>
    <mergeCell ref="N277:O277"/>
    <mergeCell ref="N269:O269"/>
    <mergeCell ref="P269:Q269"/>
    <mergeCell ref="R269:S269"/>
    <mergeCell ref="T269:U269"/>
    <mergeCell ref="W269:X269"/>
    <mergeCell ref="N270:O270"/>
    <mergeCell ref="P270:Q270"/>
    <mergeCell ref="R270:S270"/>
    <mergeCell ref="T270:U270"/>
    <mergeCell ref="W270:X270"/>
    <mergeCell ref="N267:P267"/>
    <mergeCell ref="T267:U267"/>
    <mergeCell ref="W267:X267"/>
    <mergeCell ref="N268:Q268"/>
    <mergeCell ref="AI251:AI252"/>
    <mergeCell ref="AJ251:AK252"/>
    <mergeCell ref="AL251:AL252"/>
    <mergeCell ref="AA253:AB253"/>
    <mergeCell ref="AG253:AK253"/>
    <mergeCell ref="AA254:AB254"/>
    <mergeCell ref="AC254:AD254"/>
    <mergeCell ref="AE254:AF254"/>
    <mergeCell ref="AG254:AH254"/>
    <mergeCell ref="AI254:AJ254"/>
    <mergeCell ref="AC250:AD250"/>
    <mergeCell ref="AE250:AF250"/>
    <mergeCell ref="AI250:AL250"/>
    <mergeCell ref="AA251:AB252"/>
    <mergeCell ref="AC251:AC252"/>
    <mergeCell ref="AD251:AD252"/>
    <mergeCell ref="AE251:AE252"/>
    <mergeCell ref="AF251:AF252"/>
    <mergeCell ref="AG251:AG252"/>
    <mergeCell ref="AH251:AH252"/>
    <mergeCell ref="AA258:AF258"/>
    <mergeCell ref="AG258:AL258"/>
    <mergeCell ref="AG259:AI260"/>
    <mergeCell ref="AJ259:AK260"/>
    <mergeCell ref="AL259:AL260"/>
    <mergeCell ref="AG261:AH261"/>
    <mergeCell ref="AJ261:AK261"/>
    <mergeCell ref="AA257:AB257"/>
    <mergeCell ref="AC257:AD257"/>
    <mergeCell ref="AE257:AF257"/>
    <mergeCell ref="AG257:AH257"/>
    <mergeCell ref="AI257:AJ257"/>
    <mergeCell ref="AK257:AL257"/>
    <mergeCell ref="AK254:AL254"/>
    <mergeCell ref="AA255:AB256"/>
    <mergeCell ref="AC255:AD256"/>
    <mergeCell ref="AE255:AF256"/>
    <mergeCell ref="AG255:AH256"/>
    <mergeCell ref="AI255:AJ256"/>
    <mergeCell ref="AK255:AL256"/>
    <mergeCell ref="AA267:AC267"/>
    <mergeCell ref="AG267:AH267"/>
    <mergeCell ref="AJ267:AK267"/>
    <mergeCell ref="AA268:AD268"/>
    <mergeCell ref="AE268:AF268"/>
    <mergeCell ref="AG268:AH268"/>
    <mergeCell ref="AJ268:AK268"/>
    <mergeCell ref="AA265:AC265"/>
    <mergeCell ref="AG265:AH265"/>
    <mergeCell ref="AJ265:AK265"/>
    <mergeCell ref="AA266:AC266"/>
    <mergeCell ref="AG266:AH266"/>
    <mergeCell ref="AJ266:AK266"/>
    <mergeCell ref="AA262:AF262"/>
    <mergeCell ref="AG262:AL262"/>
    <mergeCell ref="AA263:AC263"/>
    <mergeCell ref="AG263:AH263"/>
    <mergeCell ref="AJ263:AK263"/>
    <mergeCell ref="AA264:AC264"/>
    <mergeCell ref="AG264:AH264"/>
    <mergeCell ref="AJ264:AK264"/>
    <mergeCell ref="AA271:AF271"/>
    <mergeCell ref="AG271:AL271"/>
    <mergeCell ref="AA272:AB272"/>
    <mergeCell ref="AG272:AL286"/>
    <mergeCell ref="AA273:AB273"/>
    <mergeCell ref="AA274:AB274"/>
    <mergeCell ref="AA275:AB275"/>
    <mergeCell ref="AA276:AC276"/>
    <mergeCell ref="AD276:AF276"/>
    <mergeCell ref="AA277:AB277"/>
    <mergeCell ref="AA269:AB269"/>
    <mergeCell ref="AC269:AD269"/>
    <mergeCell ref="AE269:AF269"/>
    <mergeCell ref="AG269:AH269"/>
    <mergeCell ref="AJ269:AK269"/>
    <mergeCell ref="AA270:AB270"/>
    <mergeCell ref="AC270:AD270"/>
    <mergeCell ref="AE270:AF270"/>
    <mergeCell ref="AG270:AH270"/>
    <mergeCell ref="AJ270:AK270"/>
    <mergeCell ref="C291:D291"/>
    <mergeCell ref="E291:F291"/>
    <mergeCell ref="I291:L291"/>
    <mergeCell ref="A292:B293"/>
    <mergeCell ref="C292:C293"/>
    <mergeCell ref="D292:D293"/>
    <mergeCell ref="E292:E293"/>
    <mergeCell ref="F292:F293"/>
    <mergeCell ref="G292:G293"/>
    <mergeCell ref="H292:H293"/>
    <mergeCell ref="AD277:AE277"/>
    <mergeCell ref="AA278:AF286"/>
    <mergeCell ref="B288:L289"/>
    <mergeCell ref="A290:B290"/>
    <mergeCell ref="C290:D290"/>
    <mergeCell ref="E290:F290"/>
    <mergeCell ref="G290:G291"/>
    <mergeCell ref="H290:H291"/>
    <mergeCell ref="I290:L290"/>
    <mergeCell ref="A291:B291"/>
    <mergeCell ref="Q277:R277"/>
    <mergeCell ref="N278:S286"/>
    <mergeCell ref="D277:E277"/>
    <mergeCell ref="A278:F286"/>
    <mergeCell ref="P291:Q291"/>
    <mergeCell ref="R291:S291"/>
    <mergeCell ref="V291:Y291"/>
    <mergeCell ref="N292:O293"/>
    <mergeCell ref="P292:P293"/>
    <mergeCell ref="Q292:Q293"/>
    <mergeCell ref="R292:R293"/>
    <mergeCell ref="S292:S293"/>
    <mergeCell ref="K295:L295"/>
    <mergeCell ref="A296:B297"/>
    <mergeCell ref="C296:D297"/>
    <mergeCell ref="E296:F297"/>
    <mergeCell ref="G296:H297"/>
    <mergeCell ref="I296:J297"/>
    <mergeCell ref="K296:L297"/>
    <mergeCell ref="I292:I293"/>
    <mergeCell ref="J292:K293"/>
    <mergeCell ref="L292:L293"/>
    <mergeCell ref="A294:B294"/>
    <mergeCell ref="G294:K294"/>
    <mergeCell ref="A295:B295"/>
    <mergeCell ref="C295:D295"/>
    <mergeCell ref="E295:F295"/>
    <mergeCell ref="G295:H295"/>
    <mergeCell ref="I295:J295"/>
    <mergeCell ref="A303:F303"/>
    <mergeCell ref="G303:L303"/>
    <mergeCell ref="A304:C304"/>
    <mergeCell ref="G304:H304"/>
    <mergeCell ref="J304:K304"/>
    <mergeCell ref="A305:C305"/>
    <mergeCell ref="G305:H305"/>
    <mergeCell ref="J305:K305"/>
    <mergeCell ref="A299:F299"/>
    <mergeCell ref="G299:L299"/>
    <mergeCell ref="G300:I301"/>
    <mergeCell ref="J300:K301"/>
    <mergeCell ref="L300:L301"/>
    <mergeCell ref="G302:H302"/>
    <mergeCell ref="J302:K302"/>
    <mergeCell ref="A298:B298"/>
    <mergeCell ref="C298:D298"/>
    <mergeCell ref="E298:F298"/>
    <mergeCell ref="G298:H298"/>
    <mergeCell ref="I298:J298"/>
    <mergeCell ref="K298:L298"/>
    <mergeCell ref="C311:D311"/>
    <mergeCell ref="E311:F311"/>
    <mergeCell ref="G311:H311"/>
    <mergeCell ref="J311:K311"/>
    <mergeCell ref="A308:C308"/>
    <mergeCell ref="G308:H308"/>
    <mergeCell ref="J308:K308"/>
    <mergeCell ref="A309:D309"/>
    <mergeCell ref="E309:F309"/>
    <mergeCell ref="G309:H309"/>
    <mergeCell ref="J309:K309"/>
    <mergeCell ref="A306:C306"/>
    <mergeCell ref="G306:H306"/>
    <mergeCell ref="J306:K306"/>
    <mergeCell ref="A307:C307"/>
    <mergeCell ref="G307:H307"/>
    <mergeCell ref="J307:K307"/>
    <mergeCell ref="O288:Y289"/>
    <mergeCell ref="N290:O290"/>
    <mergeCell ref="P290:Q290"/>
    <mergeCell ref="R290:S290"/>
    <mergeCell ref="T290:T291"/>
    <mergeCell ref="U290:U291"/>
    <mergeCell ref="V290:Y290"/>
    <mergeCell ref="N291:O291"/>
    <mergeCell ref="A312:F312"/>
    <mergeCell ref="G312:L312"/>
    <mergeCell ref="A313:B313"/>
    <mergeCell ref="G313:L327"/>
    <mergeCell ref="A314:B314"/>
    <mergeCell ref="A315:B315"/>
    <mergeCell ref="A316:B316"/>
    <mergeCell ref="A317:C317"/>
    <mergeCell ref="D317:F317"/>
    <mergeCell ref="A318:B318"/>
    <mergeCell ref="A310:B310"/>
    <mergeCell ref="C310:D310"/>
    <mergeCell ref="X295:Y295"/>
    <mergeCell ref="N296:O297"/>
    <mergeCell ref="P296:Q297"/>
    <mergeCell ref="R296:S297"/>
    <mergeCell ref="T296:U297"/>
    <mergeCell ref="V296:W297"/>
    <mergeCell ref="X296:Y297"/>
    <mergeCell ref="V292:V293"/>
    <mergeCell ref="E310:F310"/>
    <mergeCell ref="G310:H310"/>
    <mergeCell ref="J310:K310"/>
    <mergeCell ref="A311:B311"/>
    <mergeCell ref="W292:X293"/>
    <mergeCell ref="Y292:Y293"/>
    <mergeCell ref="N294:O294"/>
    <mergeCell ref="T294:X294"/>
    <mergeCell ref="N295:O295"/>
    <mergeCell ref="P295:Q295"/>
    <mergeCell ref="R295:S295"/>
    <mergeCell ref="T295:U295"/>
    <mergeCell ref="V295:W295"/>
    <mergeCell ref="N303:S303"/>
    <mergeCell ref="T303:Y303"/>
    <mergeCell ref="N304:P304"/>
    <mergeCell ref="T304:U304"/>
    <mergeCell ref="W304:X304"/>
    <mergeCell ref="N305:P305"/>
    <mergeCell ref="T305:U305"/>
    <mergeCell ref="W305:X305"/>
    <mergeCell ref="N299:S299"/>
    <mergeCell ref="T299:Y299"/>
    <mergeCell ref="T300:V301"/>
    <mergeCell ref="W300:X301"/>
    <mergeCell ref="Y300:Y301"/>
    <mergeCell ref="T302:U302"/>
    <mergeCell ref="W302:X302"/>
    <mergeCell ref="N298:O298"/>
    <mergeCell ref="P298:Q298"/>
    <mergeCell ref="R298:S298"/>
    <mergeCell ref="T298:U298"/>
    <mergeCell ref="V298:W298"/>
    <mergeCell ref="X298:Y298"/>
    <mergeCell ref="T292:T293"/>
    <mergeCell ref="U292:U293"/>
    <mergeCell ref="R310:S310"/>
    <mergeCell ref="T310:U310"/>
    <mergeCell ref="W310:X310"/>
    <mergeCell ref="N311:O311"/>
    <mergeCell ref="P311:Q311"/>
    <mergeCell ref="R311:S311"/>
    <mergeCell ref="T311:U311"/>
    <mergeCell ref="W311:X311"/>
    <mergeCell ref="N308:P308"/>
    <mergeCell ref="T308:U308"/>
    <mergeCell ref="W308:X308"/>
    <mergeCell ref="N309:Q309"/>
    <mergeCell ref="R309:S309"/>
    <mergeCell ref="T309:U309"/>
    <mergeCell ref="W309:X309"/>
    <mergeCell ref="N306:P306"/>
    <mergeCell ref="T306:U306"/>
    <mergeCell ref="W306:X306"/>
    <mergeCell ref="N307:P307"/>
    <mergeCell ref="T307:U307"/>
    <mergeCell ref="W307:X307"/>
    <mergeCell ref="AC291:AD291"/>
    <mergeCell ref="AE291:AF291"/>
    <mergeCell ref="AI291:AL291"/>
    <mergeCell ref="AA292:AB293"/>
    <mergeCell ref="AC292:AC293"/>
    <mergeCell ref="AD292:AD293"/>
    <mergeCell ref="AE292:AE293"/>
    <mergeCell ref="AF292:AF293"/>
    <mergeCell ref="AG292:AG293"/>
    <mergeCell ref="AH292:AH293"/>
    <mergeCell ref="Q318:R318"/>
    <mergeCell ref="N319:S327"/>
    <mergeCell ref="AB288:AL289"/>
    <mergeCell ref="AA290:AB290"/>
    <mergeCell ref="AC290:AD290"/>
    <mergeCell ref="AE290:AF290"/>
    <mergeCell ref="AG290:AG291"/>
    <mergeCell ref="AH290:AH291"/>
    <mergeCell ref="AI290:AL290"/>
    <mergeCell ref="AA291:AB291"/>
    <mergeCell ref="N312:S312"/>
    <mergeCell ref="T312:Y312"/>
    <mergeCell ref="N313:O313"/>
    <mergeCell ref="T313:Y327"/>
    <mergeCell ref="N314:O314"/>
    <mergeCell ref="N315:O315"/>
    <mergeCell ref="N316:O316"/>
    <mergeCell ref="N317:P317"/>
    <mergeCell ref="Q317:S317"/>
    <mergeCell ref="N318:O318"/>
    <mergeCell ref="N310:O310"/>
    <mergeCell ref="P310:Q310"/>
    <mergeCell ref="AA298:AB298"/>
    <mergeCell ref="AC298:AD298"/>
    <mergeCell ref="AE298:AF298"/>
    <mergeCell ref="AG298:AH298"/>
    <mergeCell ref="AI298:AJ298"/>
    <mergeCell ref="AK298:AL298"/>
    <mergeCell ref="AK295:AL295"/>
    <mergeCell ref="AA296:AB297"/>
    <mergeCell ref="AC296:AD297"/>
    <mergeCell ref="AE296:AF297"/>
    <mergeCell ref="AG296:AH297"/>
    <mergeCell ref="AI296:AJ297"/>
    <mergeCell ref="AK296:AL297"/>
    <mergeCell ref="AI292:AI293"/>
    <mergeCell ref="AJ292:AK293"/>
    <mergeCell ref="AL292:AL293"/>
    <mergeCell ref="AA294:AB294"/>
    <mergeCell ref="AG294:AK294"/>
    <mergeCell ref="AA295:AB295"/>
    <mergeCell ref="AC295:AD295"/>
    <mergeCell ref="AE295:AF295"/>
    <mergeCell ref="AG295:AH295"/>
    <mergeCell ref="AI295:AJ295"/>
    <mergeCell ref="AA306:AC306"/>
    <mergeCell ref="AG306:AH306"/>
    <mergeCell ref="AJ306:AK306"/>
    <mergeCell ref="AA307:AC307"/>
    <mergeCell ref="AG307:AH307"/>
    <mergeCell ref="AJ307:AK307"/>
    <mergeCell ref="AA303:AF303"/>
    <mergeCell ref="AG303:AL303"/>
    <mergeCell ref="AA304:AC304"/>
    <mergeCell ref="AG304:AH304"/>
    <mergeCell ref="AJ304:AK304"/>
    <mergeCell ref="AA305:AC305"/>
    <mergeCell ref="AG305:AH305"/>
    <mergeCell ref="AJ305:AK305"/>
    <mergeCell ref="AA299:AF299"/>
    <mergeCell ref="AG299:AL299"/>
    <mergeCell ref="AG300:AI301"/>
    <mergeCell ref="AJ300:AK301"/>
    <mergeCell ref="AL300:AL301"/>
    <mergeCell ref="AG302:AH302"/>
    <mergeCell ref="AJ302:AK302"/>
    <mergeCell ref="AA310:AB310"/>
    <mergeCell ref="AC310:AD310"/>
    <mergeCell ref="AE310:AF310"/>
    <mergeCell ref="AG310:AH310"/>
    <mergeCell ref="AJ310:AK310"/>
    <mergeCell ref="AA311:AB311"/>
    <mergeCell ref="AC311:AD311"/>
    <mergeCell ref="AE311:AF311"/>
    <mergeCell ref="AG311:AH311"/>
    <mergeCell ref="AJ311:AK311"/>
    <mergeCell ref="AA308:AC308"/>
    <mergeCell ref="AG308:AH308"/>
    <mergeCell ref="AJ308:AK308"/>
    <mergeCell ref="AA309:AD309"/>
    <mergeCell ref="AE309:AF309"/>
    <mergeCell ref="AG309:AH309"/>
    <mergeCell ref="AJ309:AK309"/>
    <mergeCell ref="AD318:AE318"/>
    <mergeCell ref="AA319:AF327"/>
    <mergeCell ref="B329:L330"/>
    <mergeCell ref="A331:B331"/>
    <mergeCell ref="C331:D331"/>
    <mergeCell ref="E331:F331"/>
    <mergeCell ref="G331:G332"/>
    <mergeCell ref="H331:H332"/>
    <mergeCell ref="I331:L331"/>
    <mergeCell ref="A332:B332"/>
    <mergeCell ref="AA312:AF312"/>
    <mergeCell ref="AG312:AL312"/>
    <mergeCell ref="AA313:AB313"/>
    <mergeCell ref="AG313:AL327"/>
    <mergeCell ref="AA314:AB314"/>
    <mergeCell ref="AA315:AB315"/>
    <mergeCell ref="AA316:AB316"/>
    <mergeCell ref="AA317:AC317"/>
    <mergeCell ref="AD317:AF317"/>
    <mergeCell ref="AA318:AB318"/>
    <mergeCell ref="D318:E318"/>
    <mergeCell ref="A319:F327"/>
    <mergeCell ref="I333:I334"/>
    <mergeCell ref="J333:K334"/>
    <mergeCell ref="L333:L334"/>
    <mergeCell ref="A335:B335"/>
    <mergeCell ref="G335:K335"/>
    <mergeCell ref="A336:B336"/>
    <mergeCell ref="C336:D336"/>
    <mergeCell ref="E336:F336"/>
    <mergeCell ref="G336:H336"/>
    <mergeCell ref="I336:J336"/>
    <mergeCell ref="C332:D332"/>
    <mergeCell ref="E332:F332"/>
    <mergeCell ref="I332:L332"/>
    <mergeCell ref="A333:B334"/>
    <mergeCell ref="C333:C334"/>
    <mergeCell ref="D333:D334"/>
    <mergeCell ref="E333:E334"/>
    <mergeCell ref="F333:F334"/>
    <mergeCell ref="G333:G334"/>
    <mergeCell ref="H333:H334"/>
    <mergeCell ref="A340:F340"/>
    <mergeCell ref="G340:L340"/>
    <mergeCell ref="G341:I342"/>
    <mergeCell ref="J341:K342"/>
    <mergeCell ref="L341:L342"/>
    <mergeCell ref="G343:H343"/>
    <mergeCell ref="J343:K343"/>
    <mergeCell ref="A339:B339"/>
    <mergeCell ref="C339:D339"/>
    <mergeCell ref="E339:F339"/>
    <mergeCell ref="G339:H339"/>
    <mergeCell ref="I339:J339"/>
    <mergeCell ref="K339:L339"/>
    <mergeCell ref="K336:L336"/>
    <mergeCell ref="A337:B338"/>
    <mergeCell ref="C337:D338"/>
    <mergeCell ref="E337:F338"/>
    <mergeCell ref="G337:H338"/>
    <mergeCell ref="I337:J338"/>
    <mergeCell ref="K337:L338"/>
    <mergeCell ref="J349:K349"/>
    <mergeCell ref="A350:D350"/>
    <mergeCell ref="E350:F350"/>
    <mergeCell ref="G350:H350"/>
    <mergeCell ref="J350:K350"/>
    <mergeCell ref="A347:C347"/>
    <mergeCell ref="G347:H347"/>
    <mergeCell ref="J347:K347"/>
    <mergeCell ref="A348:C348"/>
    <mergeCell ref="G348:H348"/>
    <mergeCell ref="J348:K348"/>
    <mergeCell ref="A344:F344"/>
    <mergeCell ref="G344:L344"/>
    <mergeCell ref="A345:C345"/>
    <mergeCell ref="G345:H345"/>
    <mergeCell ref="J345:K345"/>
    <mergeCell ref="A346:C346"/>
    <mergeCell ref="G346:H346"/>
    <mergeCell ref="J346:K346"/>
    <mergeCell ref="D359:E359"/>
    <mergeCell ref="A360:F368"/>
    <mergeCell ref="O329:Y330"/>
    <mergeCell ref="N331:O331"/>
    <mergeCell ref="P331:Q331"/>
    <mergeCell ref="R331:S331"/>
    <mergeCell ref="T331:T332"/>
    <mergeCell ref="U331:U332"/>
    <mergeCell ref="V331:Y331"/>
    <mergeCell ref="N332:O332"/>
    <mergeCell ref="A353:F353"/>
    <mergeCell ref="G353:L353"/>
    <mergeCell ref="A354:B354"/>
    <mergeCell ref="G354:L368"/>
    <mergeCell ref="A355:B355"/>
    <mergeCell ref="A356:B356"/>
    <mergeCell ref="A357:B357"/>
    <mergeCell ref="A358:C358"/>
    <mergeCell ref="D358:F358"/>
    <mergeCell ref="A359:B359"/>
    <mergeCell ref="A351:B351"/>
    <mergeCell ref="C351:D351"/>
    <mergeCell ref="E351:F351"/>
    <mergeCell ref="G351:H351"/>
    <mergeCell ref="J351:K351"/>
    <mergeCell ref="A352:B352"/>
    <mergeCell ref="C352:D352"/>
    <mergeCell ref="E352:F352"/>
    <mergeCell ref="G352:H352"/>
    <mergeCell ref="J352:K352"/>
    <mergeCell ref="A349:C349"/>
    <mergeCell ref="G349:H349"/>
    <mergeCell ref="V333:V334"/>
    <mergeCell ref="W333:X334"/>
    <mergeCell ref="Y333:Y334"/>
    <mergeCell ref="N335:O335"/>
    <mergeCell ref="T335:X335"/>
    <mergeCell ref="N336:O336"/>
    <mergeCell ref="P336:Q336"/>
    <mergeCell ref="R336:S336"/>
    <mergeCell ref="T336:U336"/>
    <mergeCell ref="V336:W336"/>
    <mergeCell ref="P332:Q332"/>
    <mergeCell ref="R332:S332"/>
    <mergeCell ref="V332:Y332"/>
    <mergeCell ref="N333:O334"/>
    <mergeCell ref="P333:P334"/>
    <mergeCell ref="Q333:Q334"/>
    <mergeCell ref="R333:R334"/>
    <mergeCell ref="S333:S334"/>
    <mergeCell ref="T333:T334"/>
    <mergeCell ref="U333:U334"/>
    <mergeCell ref="N340:S340"/>
    <mergeCell ref="T340:Y340"/>
    <mergeCell ref="T341:V342"/>
    <mergeCell ref="W341:X342"/>
    <mergeCell ref="Y341:Y342"/>
    <mergeCell ref="T343:U343"/>
    <mergeCell ref="W343:X343"/>
    <mergeCell ref="N339:O339"/>
    <mergeCell ref="P339:Q339"/>
    <mergeCell ref="R339:S339"/>
    <mergeCell ref="T339:U339"/>
    <mergeCell ref="V339:W339"/>
    <mergeCell ref="X339:Y339"/>
    <mergeCell ref="X336:Y336"/>
    <mergeCell ref="N337:O338"/>
    <mergeCell ref="P337:Q338"/>
    <mergeCell ref="R337:S338"/>
    <mergeCell ref="T337:U338"/>
    <mergeCell ref="V337:W338"/>
    <mergeCell ref="X337:Y338"/>
    <mergeCell ref="N349:P349"/>
    <mergeCell ref="T349:U349"/>
    <mergeCell ref="W349:X349"/>
    <mergeCell ref="N350:Q350"/>
    <mergeCell ref="R350:S350"/>
    <mergeCell ref="T350:U350"/>
    <mergeCell ref="W350:X350"/>
    <mergeCell ref="N347:P347"/>
    <mergeCell ref="T347:U347"/>
    <mergeCell ref="W347:X347"/>
    <mergeCell ref="N348:P348"/>
    <mergeCell ref="T348:U348"/>
    <mergeCell ref="W348:X348"/>
    <mergeCell ref="N344:S344"/>
    <mergeCell ref="T344:Y344"/>
    <mergeCell ref="N345:P345"/>
    <mergeCell ref="T345:U345"/>
    <mergeCell ref="W345:X345"/>
    <mergeCell ref="N346:P346"/>
    <mergeCell ref="T346:U346"/>
    <mergeCell ref="W346:X346"/>
    <mergeCell ref="Q359:R359"/>
    <mergeCell ref="N360:S368"/>
    <mergeCell ref="N353:S353"/>
    <mergeCell ref="T353:Y353"/>
    <mergeCell ref="N354:O354"/>
    <mergeCell ref="T354:Y368"/>
    <mergeCell ref="N355:O355"/>
    <mergeCell ref="N356:O356"/>
    <mergeCell ref="N357:O357"/>
    <mergeCell ref="N358:P358"/>
    <mergeCell ref="Q358:S358"/>
    <mergeCell ref="N359:O359"/>
    <mergeCell ref="N351:O351"/>
    <mergeCell ref="P351:Q351"/>
    <mergeCell ref="R351:S351"/>
    <mergeCell ref="T351:U351"/>
    <mergeCell ref="W351:X351"/>
    <mergeCell ref="N352:O352"/>
    <mergeCell ref="P352:Q352"/>
    <mergeCell ref="R352:S352"/>
    <mergeCell ref="T352:U352"/>
    <mergeCell ref="W352:X352"/>
  </mergeCells>
  <dataValidations count="15">
    <dataValidation type="list" allowBlank="1" showInputMessage="1" showErrorMessage="1" sqref="D27:D29 Q27:Q29 AD27:AD29 D68:D70 Q68:Q70 AD68:AD70 D109:D111 Q109:Q111 AD109:AD111 D150:D152 Q150:Q152 AD150:AD152 D191:D193 Q191:Q193 AD191:AD193 D232:D234 Q232:Q234 AD232:AD234 D273:D275 Q273:Q275 AD273:AD275 D314:D316 Q314:Q316 AD314:AD316 D355:D357 Q355:Q357">
      <formula1>"melee,reach,thrown-20,ranged-30,ranged-60,ranged-90,ranged-120"</formula1>
    </dataValidation>
    <dataValidation type="list" allowBlank="1" showInputMessage="1" showErrorMessage="1" sqref="A3:B3 N3:O3 AA3:AB3 A44:B44 N44:O44 AA44:AB44 A85:B85 N85:O85 AA85:AB85 A126:B126 N126:O126 AA126:AB126 A167:B167 N167:O167 AA167:AB167 A208:B208 N208:O208 AA208:AB208 A249:B249 N249:O249 AA249:AB249 A290:B290 N290:O290 AA290:AB290 A331:B331 N331:O331">
      <formula1>"Aberration,Beast,Celestial,Dragon,Elemental,Fey,Fiend,Giant,Humanoid,Monstrosity,Ooze,Plant,Undead"</formula1>
    </dataValidation>
    <dataValidation type="list" allowBlank="1" showInputMessage="1" showErrorMessage="1" sqref="D30 Q30 AD30 D71 Q71 AD71 D112 Q112 AD112 D153 Q153 AD153 D194 Q194 AD194 D235 Q235 AD235 D276 Q276 AD276 D317 Q317 AD317 D358 Q358">
      <formula1>"none,Int,Wis,Cha"</formula1>
    </dataValidation>
    <dataValidation type="list" allowBlank="1" showInputMessage="1" showErrorMessage="1" sqref="G17:H24 J17:K24 T17:U24 W17:X24 AG17:AH24 AJ17:AK24 G58:H65 J58:K65 T58:U65 W58:X65 AG58:AH65 AJ58:AK65 G99:H106 J99:K106 T99:U106 W99:X106 AG99:AH106 AJ99:AK106 G140:H147 J140:K147 T140:U147 W140:X147 AG140:AH147 AJ140:AK147 G181:H188 J181:K188 T181:U188 W181:X188 AG181:AH188 AJ181:AK188 G222:H229 J222:K229 T222:U229 W222:X229 AG222:AH229 AJ222:AK229 G263:H270 J263:K270 T263:U270 W263:X270 AG263:AH270 AJ263:AK270 G304:H311 J304:K311 T304:U311 W304:X311 AG304:AH311 AJ304:AK311 G345:H352 J345:K352 T345:U352 W345:X352">
      <formula1>"none,Acid,Cold,Fire,Force,Lightning,Necrotic,Poison,Psychic,Radiant,Thunder,Slashing,Piercing,Bludgeoning,Slashing-nm,Piercing-nm,Bludgeoning-nm"</formula1>
    </dataValidation>
    <dataValidation type="list" allowBlank="1" showInputMessage="1" showErrorMessage="1" sqref="A17:C21 N17:P21 AA17:AC21 A58:C62 N58:P62 AA58:AC62 A99:C103 N99:P103 AA99:AC103 A140:C144 N140:P144 AA140:AC144 A181:C185 N181:P185 AA181:AC185 A222:C226 N222:P226 AA222:AC226 A263:C267 N263:P267 AA263:AC267 A304:C308 N304:P308 AA304:AC308 A345:C349 N345:P349">
      <formula1>"none,Athletics,Acrobatics,Sleight of Hand,Stealth,Animal Handling,Insight,Medicine,Perception,Survival,Arcana,History,Investigation,Nature,Religion,Deception,Intimidation,Performance,Persuassion"</formula1>
    </dataValidation>
    <dataValidation type="list" allowBlank="1" showInputMessage="1" showErrorMessage="1" sqref="E22:F22 A23:F24 R22:S22 N23:S24 AE22:AF22 AA23:AF24 E63:F63 A64:F65 R63:S63 N64:S65 AE63:AF63 AA64:AF65 E104:F104 A105:F106 R104:S104 N105:S106 AE104:AF104 AA105:AF106 E145:F145 A146:F147 R145:S145 N146:S147 AE145:AF145 AA146:AF147 E186:F186 A187:F188 R186:S186 N187:S188 AE186:AF186 AA187:AF188 E227:F227 A228:F229 R227:S227 N228:S229 AE227:AF227 AA228:AF229 E268:F268 A269:F270 R268:S268 N269:S270 AE268:AF268 AA269:AF270 E309:F309 A310:F311 R309:S309 N310:S311 AE309:AF309 AA310:AF311 E350:F350 A351:F352 R350:S350 N351:S352">
      <formula1>"common,dwarven,orcish,elvish,infernal,druidic,celestial,abyssal,draconic"</formula1>
    </dataValidation>
    <dataValidation type="list" allowBlank="1" showInputMessage="1" showErrorMessage="1" sqref="I17:I24 L17:L24 V17:V24 Y17:Y24 AI17:AI24 AL17:AL24 I58:I65 L58:L65 V58:V65 Y58:Y65 AI58:AI65 AL58:AL65 I99:I106 L99:L106 V99:V106 Y99:Y106 AI99:AI106 AL99:AL106 I140:I147 L140:L147 V140:V147 Y140:Y147 AI140:AI147 AL140:AL147 I181:I188 L181:L188 V181:V188 Y181:Y188 AI181:AI188 AL181:AL188 I222:I229 L222:L229 V222:V229 Y222:Y229 AI222:AI229 AL222:AL229 I263:I270 L263:L270 V263:V270 Y263:Y270 AI263:AI270 AL263:AL270 I304:I311 L304:L311 V304:V311 Y304:Y311 AI304:AI311 AL304:AL311 I345:I352 L345:L352 V345:V352 Y345:Y352">
      <formula1>"none,resist,immun,vulner"</formula1>
    </dataValidation>
    <dataValidation type="list" allowBlank="1" showInputMessage="1" showErrorMessage="1" sqref="D17:D21 Q17:Q21 AD17:AD21 D58:D62 Q58:Q62 AD58:AD62 D99:D103 Q99:Q103 AD99:AD103 D140:D144 Q140:Q144 AD140:AD144 D181:D185 Q181:Q185 AD181:AD185 D222:D226 Q222:Q226 AD222:AD226 D263:D267 Q263:Q267 AD263:AD267 D304:D308 Q304:Q308 AD304:AD308 D345:D349 Q345:Q349">
      <formula1>"Str,Dex,Con,Int,Wis,Cha"</formula1>
    </dataValidation>
    <dataValidation type="list" allowBlank="1" showInputMessage="1" showErrorMessage="1" sqref="F17:F21 S17:S21 AF17:AF21 F58:F62 S58:S62 AF58:AF62 F99:F103 S99:S103 AF99:AF103 F140:F144 S140:S144 AF140:AF144 F181:F185 S181:S185 AF181:AF185 F222:F226 S222:S226 AF222:AF226 F263:F267 S263:S267 AF263:AF267 F304:F308 S304:S308 AF304:AF308 F345:F349 S345:S349">
      <formula1>"none,prof,expert"</formula1>
    </dataValidation>
    <dataValidation type="list" allowBlank="1" showInputMessage="1" showErrorMessage="1" sqref="L15 I15 Y15 V15 AL15 AI15 L56 I56 Y56 V56 AL56 AI56 L97 I97 Y97 V97 AL97 AI97 L138 I138 Y138 V138 AL138 AI138 L179 I179 Y179 V179 AL179 AI179 L220 I220 Y220 V220 AL220 AI220 L261 I261 Y261 V261 AL261 AI261 L302 I302 Y302 V302 AL302 AI302 L343 I343 Y343 V343">
      <formula1>"0,30,60,90,120"</formula1>
    </dataValidation>
    <dataValidation type="list" allowBlank="1" showInputMessage="1" showErrorMessage="1" sqref="G15 J15 T15 W15 AG15 AJ15 G56 J56 T56 W56 AG56 AJ56 G97 J97 T97 W97 AG97 AJ97 G138 J138 T138 W138 AG138 AJ138 G179 J179 T179 W179 AG179 AJ179 G220 J220 T220 W220 AG220 AJ220 G261 J261 T261 W261 AG261 AJ261 G302 J302 T302 W302 AG302 AJ302 G343 J343 T343 W343">
      <formula1>"none,darkvision,,blindsight"</formula1>
    </dataValidation>
    <dataValidation type="list" showInputMessage="1" showErrorMessage="1" sqref="D7:F7 Q7:S7 AD7:AF7 D48:F48 Q48:S48 AD48:AF48 D89:F89 Q89:S89 AD89:AF89 D130:F130 Q130:S130 AD130:AF130 D171:F171 Q171:S171 AD171:AF171 D212:F212 Q212:S212 AD212:AF212 D253:F253 Q253:S253 AD253:AF253 D294:F294 Q294:S294 AD294:AF294 D335:F335 Q335:S335">
      <formula1>"none,Fly,Burrow,Swim"</formula1>
    </dataValidation>
    <dataValidation type="list" allowBlank="1" showInputMessage="1" showErrorMessage="1" sqref="E3 R3 AE3 E44 R44 AE44 E85 R85 AE85 E126 R126 AE126 E167 R167 AE167 E208 R208 AE208 E249 R249 AE249 E290 R290 AE290 E331 R331">
      <formula1>"n/a,CE,NE,LE,CN,N,LN,CG,NG,LG"</formula1>
    </dataValidation>
    <dataValidation type="list" allowBlank="1" showInputMessage="1" showErrorMessage="1" sqref="C3:D3 P3:Q3 AC3:AD3 C44:D44 P44:Q44 AC44:AD44 C85:D85 P85:Q85 AC85:AD85 C126:D126 P126:Q126 AC126:AD126 C167:D167 P167:Q167 AC167:AD167 C208:D208 P208:Q208 AC208:AD208 C249:D249 P249:Q249 AC249:AD249 C290:D290 P290:Q290 AC290:AD290 C331:D331 P331:Q331">
      <formula1>"Tiny,Small,Medium,Large,Huge,Gargantuan"</formula1>
    </dataValidation>
    <dataValidation type="list" allowBlank="1" showInputMessage="1" showErrorMessage="1" sqref="P54:P56 F13:F15 C13:C15 L13 S13:S15 P13:P15 Y13 AF13:AF15 AC13:AC15 L54 F54:F56 C54:C56 Y54 S54:S56 AL13 AC54:AC56 AL54 AF54:AF56 C95:C97 L95 F95:F97 P95:P97 Y95 S95:S97 AC95:AC97 AL95 AF95:AF97 C136:C138 L136 F136:F138 P136:P138 Y136 S136:S138 AC136:AC138 AL136 AF136:AF138 F177:F179 L177 C177:C179 S177:S179 Y177 P177:P179 AF177:AF179 AL177 AC177:AC179 F218:F220 L218 C218:C220 S218:S220 Y218 P218:P220 AC218:AC220 AL218 AF218:AF220 F259:F261 L259 C259:C261 S259:S261 Y259 P259:P261 AC259:AC261 AL259 AF259:AF261 S300:S302 L300 F300:F302 P300:P302 Y300 C300:C302 AF300:AF302 AC300:AC302 AL300 F341:F343 C341:C343 L341 S341:S343 Y341 P341:P343">
      <formula1>"prof,non"</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dimension ref="A1:AW40"/>
  <sheetViews>
    <sheetView topLeftCell="A19" zoomScale="85" zoomScaleNormal="85" workbookViewId="0">
      <selection activeCell="G20" sqref="G20:I20"/>
    </sheetView>
  </sheetViews>
  <sheetFormatPr defaultRowHeight="15" x14ac:dyDescent="0.25"/>
  <cols>
    <col min="30" max="30" width="10.7109375" customWidth="1"/>
    <col min="35" max="36" width="10" customWidth="1"/>
  </cols>
  <sheetData>
    <row r="1" spans="1:49" ht="17.25" x14ac:dyDescent="0.25">
      <c r="A1" s="153">
        <v>1</v>
      </c>
      <c r="B1" s="254" t="s">
        <v>1026</v>
      </c>
      <c r="C1" s="254"/>
      <c r="D1" s="254"/>
      <c r="E1" s="254"/>
      <c r="G1" s="127">
        <v>1</v>
      </c>
      <c r="H1" s="265" t="s">
        <v>1139</v>
      </c>
      <c r="I1" s="265"/>
      <c r="J1" s="265"/>
      <c r="K1" s="265"/>
      <c r="L1" s="265"/>
      <c r="M1" s="265"/>
      <c r="N1" s="265"/>
      <c r="O1" s="265"/>
      <c r="P1" s="265"/>
      <c r="Q1" s="265"/>
      <c r="R1" s="265"/>
      <c r="AC1" s="266" t="s">
        <v>1027</v>
      </c>
      <c r="AD1" s="267"/>
      <c r="AE1" s="267"/>
      <c r="AF1" s="267"/>
      <c r="AG1" s="267"/>
      <c r="AH1" s="267"/>
      <c r="AI1" s="267"/>
      <c r="AJ1" s="267"/>
      <c r="AK1" s="267"/>
      <c r="AL1" s="267"/>
      <c r="AN1" s="266" t="s">
        <v>1028</v>
      </c>
      <c r="AO1" s="267"/>
      <c r="AQ1" s="268"/>
      <c r="AR1" s="269"/>
      <c r="AS1" s="269"/>
    </row>
    <row r="2" spans="1:49" ht="21" x14ac:dyDescent="0.4">
      <c r="B2" s="270" t="s">
        <v>11</v>
      </c>
      <c r="C2" s="270"/>
      <c r="D2" s="271">
        <v>2</v>
      </c>
      <c r="E2" s="271"/>
      <c r="G2" s="154">
        <f>INDEX(AD4:AD37,MATCH(R5,AC4:AC36,0),1)</f>
        <v>2</v>
      </c>
      <c r="H2" s="265"/>
      <c r="I2" s="265"/>
      <c r="J2" s="265"/>
      <c r="K2" s="265"/>
      <c r="L2" s="265"/>
      <c r="M2" s="265"/>
      <c r="N2" s="265"/>
      <c r="O2" s="265"/>
      <c r="P2" s="265"/>
      <c r="Q2" s="265"/>
      <c r="R2" s="265"/>
      <c r="S2" s="272" t="s">
        <v>1029</v>
      </c>
      <c r="T2" s="273"/>
      <c r="U2" s="273"/>
      <c r="V2" s="273"/>
      <c r="AC2" s="260" t="s">
        <v>11</v>
      </c>
      <c r="AD2" s="260" t="s">
        <v>1030</v>
      </c>
      <c r="AE2" s="260" t="s">
        <v>1031</v>
      </c>
      <c r="AF2" s="260" t="s">
        <v>1032</v>
      </c>
      <c r="AG2" s="260" t="s">
        <v>1033</v>
      </c>
      <c r="AH2" s="260" t="s">
        <v>1034</v>
      </c>
      <c r="AI2" s="260" t="s">
        <v>1035</v>
      </c>
      <c r="AJ2" s="260" t="s">
        <v>1036</v>
      </c>
      <c r="AK2" s="260" t="s">
        <v>1037</v>
      </c>
      <c r="AL2" s="260" t="s">
        <v>1</v>
      </c>
      <c r="AN2" s="1" t="s">
        <v>912</v>
      </c>
      <c r="AO2" s="1" t="s">
        <v>1038</v>
      </c>
      <c r="AQ2" s="1" t="s">
        <v>11</v>
      </c>
      <c r="AR2" s="1" t="s">
        <v>1039</v>
      </c>
      <c r="AS2" s="1" t="s">
        <v>1040</v>
      </c>
    </row>
    <row r="3" spans="1:49" ht="16.5" x14ac:dyDescent="0.3">
      <c r="B3" s="274" t="s">
        <v>1041</v>
      </c>
      <c r="C3" s="274"/>
      <c r="D3" s="274"/>
      <c r="E3" s="274"/>
      <c r="G3" s="237" t="s">
        <v>37</v>
      </c>
      <c r="H3" s="237"/>
      <c r="I3" s="275" t="s">
        <v>18</v>
      </c>
      <c r="J3" s="275"/>
      <c r="K3" s="275" t="s">
        <v>964</v>
      </c>
      <c r="L3" s="275"/>
      <c r="M3" s="238" t="s">
        <v>909</v>
      </c>
      <c r="N3" s="263">
        <v>16</v>
      </c>
      <c r="O3" s="229" t="s">
        <v>1068</v>
      </c>
      <c r="P3" s="230"/>
      <c r="Q3" s="230"/>
      <c r="R3" s="231"/>
      <c r="S3" t="s">
        <v>1042</v>
      </c>
      <c r="T3">
        <f>INDEX(AU8:AU21,MATCH(O3,AT8:AT21,0),1)</f>
        <v>13</v>
      </c>
      <c r="W3" s="254" t="s">
        <v>1043</v>
      </c>
      <c r="X3" s="254"/>
      <c r="Y3" s="254"/>
      <c r="Z3" s="254"/>
      <c r="AC3" s="260"/>
      <c r="AD3" s="260"/>
      <c r="AE3" s="260"/>
      <c r="AF3" s="260"/>
      <c r="AG3" s="260"/>
      <c r="AH3" s="260"/>
      <c r="AI3" s="260"/>
      <c r="AJ3" s="260"/>
      <c r="AK3" s="260"/>
      <c r="AL3" s="260"/>
      <c r="AN3" s="1" t="s">
        <v>1044</v>
      </c>
      <c r="AO3" s="1">
        <v>4</v>
      </c>
      <c r="AQ3" s="1">
        <v>0</v>
      </c>
      <c r="AR3" s="1">
        <v>2</v>
      </c>
      <c r="AS3" s="1">
        <v>2</v>
      </c>
    </row>
    <row r="4" spans="1:49" ht="15" customHeight="1" x14ac:dyDescent="0.25">
      <c r="B4" s="155" t="s">
        <v>1030</v>
      </c>
      <c r="C4" s="155">
        <f>INDEX($AD$4:$AK$37,MATCH($D$2,$AC$4:$AC$37,0),1)</f>
        <v>2</v>
      </c>
      <c r="G4" s="228" t="s">
        <v>2</v>
      </c>
      <c r="H4" s="228"/>
      <c r="I4" s="228" t="s">
        <v>912</v>
      </c>
      <c r="J4" s="228"/>
      <c r="K4" s="228" t="s">
        <v>913</v>
      </c>
      <c r="L4" s="228"/>
      <c r="M4" s="238"/>
      <c r="N4" s="263"/>
      <c r="O4" s="229" t="s">
        <v>1045</v>
      </c>
      <c r="P4" s="230"/>
      <c r="Q4" s="230"/>
      <c r="R4" s="231"/>
      <c r="S4" t="s">
        <v>1046</v>
      </c>
      <c r="T4">
        <f>INDEX(AW8:AW12,MATCH(O4,AV8:AV12,0),1)</f>
        <v>0</v>
      </c>
      <c r="AC4" s="156">
        <v>0</v>
      </c>
      <c r="AD4" s="155">
        <v>2</v>
      </c>
      <c r="AE4" s="155">
        <v>13</v>
      </c>
      <c r="AF4" s="155">
        <v>1</v>
      </c>
      <c r="AG4" s="155">
        <v>6</v>
      </c>
      <c r="AH4" s="155">
        <v>3</v>
      </c>
      <c r="AI4" s="155">
        <v>0</v>
      </c>
      <c r="AJ4" s="155">
        <v>1</v>
      </c>
      <c r="AK4" s="155">
        <v>13</v>
      </c>
      <c r="AL4" s="157">
        <v>10</v>
      </c>
      <c r="AN4" s="1" t="s">
        <v>981</v>
      </c>
      <c r="AO4" s="1">
        <v>6</v>
      </c>
      <c r="AQ4" s="1">
        <v>5</v>
      </c>
      <c r="AR4" s="1">
        <v>1.5</v>
      </c>
      <c r="AS4" s="1">
        <v>2</v>
      </c>
    </row>
    <row r="5" spans="1:49" ht="15" customHeight="1" x14ac:dyDescent="0.25">
      <c r="B5" s="155" t="s">
        <v>1031</v>
      </c>
      <c r="C5" s="155">
        <f>INDEX($AD$4:$AK$37,MATCH($D$2,$AC$4:$AC$37,0),2)</f>
        <v>13</v>
      </c>
      <c r="G5" s="263">
        <v>8</v>
      </c>
      <c r="H5" s="263"/>
      <c r="I5" s="263">
        <v>30</v>
      </c>
      <c r="J5" s="264"/>
      <c r="K5" s="264"/>
      <c r="L5" s="264"/>
      <c r="M5" s="263">
        <v>8</v>
      </c>
      <c r="N5" s="235" t="str">
        <f>IF(I3="Tiny","d4",IF(I3="Small","d6",IF(I3="Medium","d8",IF(I3="Large","d10",IF(I3="Huge","d12",IF(I3="Gargantuan","d20",""))))))</f>
        <v>d8</v>
      </c>
      <c r="O5" s="261">
        <f>IFERROR(K9,0)</f>
        <v>1</v>
      </c>
      <c r="P5" s="224">
        <f>ROUNDDOWN((0.5*(1+VALUE(RIGHT(N5,LEN(N5)-1)))+IF(K9="",0,K9))*M5,0)</f>
        <v>44</v>
      </c>
      <c r="Q5" s="224"/>
      <c r="R5" s="262">
        <v>3</v>
      </c>
      <c r="S5" t="s">
        <v>1047</v>
      </c>
      <c r="T5">
        <f>I9+K9</f>
        <v>4</v>
      </c>
      <c r="W5" s="186" t="s">
        <v>1048</v>
      </c>
      <c r="X5" s="186"/>
      <c r="Y5" s="186"/>
      <c r="Z5" s="1">
        <f>E18</f>
        <v>1.75</v>
      </c>
      <c r="AC5" s="156">
        <v>0.125</v>
      </c>
      <c r="AD5" s="155">
        <v>2</v>
      </c>
      <c r="AE5" s="155">
        <v>13</v>
      </c>
      <c r="AF5" s="155">
        <v>7</v>
      </c>
      <c r="AG5" s="155">
        <v>35</v>
      </c>
      <c r="AH5" s="155">
        <v>3</v>
      </c>
      <c r="AI5" s="155">
        <v>2</v>
      </c>
      <c r="AJ5" s="155">
        <v>3</v>
      </c>
      <c r="AK5" s="155">
        <v>13</v>
      </c>
      <c r="AL5" s="157">
        <v>25</v>
      </c>
      <c r="AN5" s="1" t="s">
        <v>18</v>
      </c>
      <c r="AO5" s="1">
        <v>8</v>
      </c>
      <c r="AQ5" s="1">
        <v>11</v>
      </c>
      <c r="AR5" s="1">
        <v>1.25</v>
      </c>
      <c r="AS5" s="1">
        <v>1.5</v>
      </c>
    </row>
    <row r="6" spans="1:49" ht="15.75" customHeight="1" x14ac:dyDescent="0.25">
      <c r="B6" s="155" t="s">
        <v>1032</v>
      </c>
      <c r="C6" s="155">
        <f>INDEX($AD$4:$AK$37,MATCH($D$2,$AC$4:$AC$37,0),3)</f>
        <v>86</v>
      </c>
      <c r="G6" s="263"/>
      <c r="H6" s="263"/>
      <c r="I6" s="263"/>
      <c r="J6" s="264"/>
      <c r="K6" s="264"/>
      <c r="L6" s="264"/>
      <c r="M6" s="263"/>
      <c r="N6" s="235"/>
      <c r="O6" s="261"/>
      <c r="P6" s="224"/>
      <c r="Q6" s="224"/>
      <c r="R6" s="262"/>
      <c r="S6" t="s">
        <v>1049</v>
      </c>
      <c r="T6">
        <f>K9+O9</f>
        <v>1</v>
      </c>
      <c r="W6" s="186" t="s">
        <v>1050</v>
      </c>
      <c r="X6" s="186"/>
      <c r="Y6" s="186"/>
      <c r="Z6" s="1">
        <f>E40</f>
        <v>2</v>
      </c>
      <c r="AC6" s="156">
        <v>0.25</v>
      </c>
      <c r="AD6" s="155">
        <v>2</v>
      </c>
      <c r="AE6" s="155">
        <v>13</v>
      </c>
      <c r="AF6" s="155">
        <v>36</v>
      </c>
      <c r="AG6" s="155">
        <v>49</v>
      </c>
      <c r="AH6" s="155">
        <v>3</v>
      </c>
      <c r="AI6" s="155">
        <v>4</v>
      </c>
      <c r="AJ6" s="155">
        <v>5</v>
      </c>
      <c r="AK6" s="155">
        <v>13</v>
      </c>
      <c r="AL6" s="157">
        <v>50</v>
      </c>
      <c r="AN6" s="1" t="s">
        <v>1051</v>
      </c>
      <c r="AO6" s="1">
        <v>10</v>
      </c>
      <c r="AQ6" s="1">
        <v>17</v>
      </c>
      <c r="AR6" s="1">
        <v>1</v>
      </c>
      <c r="AS6" s="1">
        <v>1.25</v>
      </c>
    </row>
    <row r="7" spans="1:49" ht="15.75" thickBot="1" x14ac:dyDescent="0.3">
      <c r="B7" s="155" t="s">
        <v>1033</v>
      </c>
      <c r="C7" s="155">
        <f>INDEX($AD$4:$AK$37,MATCH($D$2,$AC$4:$AC$37,0),4)</f>
        <v>100</v>
      </c>
      <c r="G7" s="226" t="str">
        <f>"Base Init:"&amp;I9</f>
        <v>Base Init:3</v>
      </c>
      <c r="H7" s="226"/>
      <c r="I7" s="129" t="s">
        <v>914</v>
      </c>
      <c r="J7" s="129" t="s">
        <v>915</v>
      </c>
      <c r="K7" s="129" t="s">
        <v>915</v>
      </c>
      <c r="L7" s="129" t="s">
        <v>915</v>
      </c>
      <c r="M7" s="226" t="s">
        <v>916</v>
      </c>
      <c r="N7" s="226"/>
      <c r="O7" s="226"/>
      <c r="P7" s="226"/>
      <c r="Q7" s="226"/>
      <c r="R7" s="129" t="s">
        <v>11</v>
      </c>
      <c r="W7" s="186" t="s">
        <v>1052</v>
      </c>
      <c r="X7" s="186"/>
      <c r="Y7" s="186"/>
      <c r="Z7" s="158">
        <f>ROUNDUP(AVERAGE(Z5:Z6),0)</f>
        <v>2</v>
      </c>
      <c r="AC7" s="156">
        <v>0.5</v>
      </c>
      <c r="AD7" s="155">
        <v>2</v>
      </c>
      <c r="AE7" s="155">
        <v>13</v>
      </c>
      <c r="AF7" s="155">
        <v>50</v>
      </c>
      <c r="AG7" s="155">
        <v>70</v>
      </c>
      <c r="AH7" s="155">
        <v>3</v>
      </c>
      <c r="AI7" s="155">
        <v>6</v>
      </c>
      <c r="AJ7" s="155">
        <v>8</v>
      </c>
      <c r="AK7" s="155">
        <v>13</v>
      </c>
      <c r="AL7" s="157">
        <v>100</v>
      </c>
      <c r="AN7" s="1" t="s">
        <v>1053</v>
      </c>
      <c r="AO7" s="1">
        <v>12</v>
      </c>
    </row>
    <row r="8" spans="1:49" ht="18" x14ac:dyDescent="0.25">
      <c r="B8" s="155" t="s">
        <v>1034</v>
      </c>
      <c r="C8" s="155">
        <f>INDEX($AD$4:$AK$37,MATCH($D$2,$AC$4:$AC$37,0),5)</f>
        <v>3</v>
      </c>
      <c r="G8" s="257">
        <v>12</v>
      </c>
      <c r="H8" s="258"/>
      <c r="I8" s="259">
        <v>16</v>
      </c>
      <c r="J8" s="258"/>
      <c r="K8" s="259">
        <v>12</v>
      </c>
      <c r="L8" s="258"/>
      <c r="M8" s="259">
        <v>12</v>
      </c>
      <c r="N8" s="258"/>
      <c r="O8" s="259">
        <v>10</v>
      </c>
      <c r="P8" s="258"/>
      <c r="Q8" s="259">
        <v>14</v>
      </c>
      <c r="R8" s="258"/>
      <c r="AC8" s="156">
        <v>1</v>
      </c>
      <c r="AD8" s="155">
        <v>2</v>
      </c>
      <c r="AE8" s="155">
        <v>13</v>
      </c>
      <c r="AF8" s="155">
        <v>71</v>
      </c>
      <c r="AG8" s="155">
        <v>85</v>
      </c>
      <c r="AH8" s="155">
        <v>3</v>
      </c>
      <c r="AI8" s="155">
        <v>9</v>
      </c>
      <c r="AJ8" s="155">
        <v>14</v>
      </c>
      <c r="AK8" s="155">
        <v>13</v>
      </c>
      <c r="AL8" s="157">
        <v>200</v>
      </c>
      <c r="AN8" s="1" t="s">
        <v>1054</v>
      </c>
      <c r="AO8" s="1">
        <v>20</v>
      </c>
      <c r="AT8" s="1" t="s">
        <v>1055</v>
      </c>
      <c r="AU8" s="1">
        <v>10</v>
      </c>
      <c r="AV8" s="1" t="s">
        <v>1056</v>
      </c>
      <c r="AW8" s="1">
        <v>2</v>
      </c>
    </row>
    <row r="9" spans="1:49" x14ac:dyDescent="0.25">
      <c r="B9" s="155" t="s">
        <v>1035</v>
      </c>
      <c r="C9" s="155">
        <f>INDEX($AD$4:$AK$37,MATCH($D$2,$AC$4:$AC$37,0),6)</f>
        <v>15</v>
      </c>
      <c r="G9" s="220">
        <f>IF(G8=0,"",IF(G8&gt;10,ROUNDDOWN((G8-10)/2,0),ROUNDUP((G8-10)/2,0)))</f>
        <v>1</v>
      </c>
      <c r="H9" s="221"/>
      <c r="I9" s="222">
        <f>IF(I8=0,"",IF(I8&gt;10,ROUNDDOWN((I8-10)/2,0),ROUNDUP((I8-10)/2,0)))</f>
        <v>3</v>
      </c>
      <c r="J9" s="221"/>
      <c r="K9" s="222">
        <f>IF(K8=0,"",IF(K8&gt;10,ROUNDDOWN((K8-10)/2,0),ROUNDUP((K8-10)/2,0)))</f>
        <v>1</v>
      </c>
      <c r="L9" s="221"/>
      <c r="M9" s="222">
        <f>IF(M8=0,"",IF(M8&gt;10,ROUNDDOWN((M8-10)/2,0),ROUNDUP((M8-10)/2,0)))</f>
        <v>1</v>
      </c>
      <c r="N9" s="221"/>
      <c r="O9" s="222">
        <f>IF(O8=0,"",IF(O8&gt;10,ROUNDDOWN((O8-10)/2,0),ROUNDUP((O8-10)/2,0)))</f>
        <v>0</v>
      </c>
      <c r="P9" s="221"/>
      <c r="Q9" s="222">
        <f>IF(Q8=0,"",IF(Q8&gt;10,ROUNDDOWN((Q8-10)/2,0),ROUNDUP((Q8-10)/2,0)))</f>
        <v>2</v>
      </c>
      <c r="R9" s="221"/>
      <c r="T9" s="256"/>
      <c r="U9" s="256"/>
      <c r="V9" s="256"/>
      <c r="W9" s="256"/>
      <c r="AC9" s="156">
        <v>2</v>
      </c>
      <c r="AD9" s="155">
        <v>2</v>
      </c>
      <c r="AE9" s="155">
        <v>13</v>
      </c>
      <c r="AF9" s="155">
        <v>86</v>
      </c>
      <c r="AG9" s="155">
        <v>100</v>
      </c>
      <c r="AH9" s="155">
        <v>3</v>
      </c>
      <c r="AI9" s="155">
        <v>15</v>
      </c>
      <c r="AJ9" s="155">
        <v>20</v>
      </c>
      <c r="AK9" s="155">
        <v>13</v>
      </c>
      <c r="AL9" s="157">
        <v>450</v>
      </c>
      <c r="AT9" s="1" t="s">
        <v>1057</v>
      </c>
      <c r="AU9" s="1">
        <v>10</v>
      </c>
      <c r="AV9" s="1" t="s">
        <v>1058</v>
      </c>
      <c r="AW9" s="1">
        <v>1</v>
      </c>
    </row>
    <row r="10" spans="1:49" x14ac:dyDescent="0.25">
      <c r="B10" s="155" t="s">
        <v>1036</v>
      </c>
      <c r="C10" s="155">
        <f>INDEX($AD$4:$AK$37,MATCH($D$2,$AC$4:$AC$37,0),7)</f>
        <v>20</v>
      </c>
      <c r="G10" s="220"/>
      <c r="H10" s="221"/>
      <c r="I10" s="222"/>
      <c r="J10" s="221"/>
      <c r="K10" s="222"/>
      <c r="L10" s="221"/>
      <c r="M10" s="222"/>
      <c r="N10" s="221"/>
      <c r="O10" s="222"/>
      <c r="P10" s="221"/>
      <c r="Q10" s="222"/>
      <c r="R10" s="221"/>
      <c r="AC10" s="156">
        <v>3</v>
      </c>
      <c r="AD10" s="155">
        <v>2</v>
      </c>
      <c r="AE10" s="155">
        <v>13</v>
      </c>
      <c r="AF10" s="155">
        <v>101</v>
      </c>
      <c r="AG10" s="155">
        <v>115</v>
      </c>
      <c r="AH10" s="155">
        <v>4</v>
      </c>
      <c r="AI10" s="155">
        <v>21</v>
      </c>
      <c r="AJ10" s="155">
        <v>26</v>
      </c>
      <c r="AK10" s="155">
        <v>13</v>
      </c>
      <c r="AL10" s="157">
        <v>700</v>
      </c>
      <c r="AN10" s="159" t="s">
        <v>2</v>
      </c>
      <c r="AP10" s="160" t="s">
        <v>913</v>
      </c>
      <c r="AT10" s="1" t="s">
        <v>1059</v>
      </c>
      <c r="AU10" s="1">
        <v>11</v>
      </c>
      <c r="AV10" s="1" t="s">
        <v>1046</v>
      </c>
      <c r="AW10" s="1">
        <v>2</v>
      </c>
    </row>
    <row r="11" spans="1:49" ht="15.75" thickBot="1" x14ac:dyDescent="0.3">
      <c r="B11" s="155" t="s">
        <v>1037</v>
      </c>
      <c r="C11" s="155">
        <f>INDEX($AD$4:$AK$37,MATCH($D$2,$AC$4:$AC$37,0),8)</f>
        <v>13</v>
      </c>
      <c r="G11" s="215" t="s">
        <v>917</v>
      </c>
      <c r="H11" s="216"/>
      <c r="I11" s="217" t="s">
        <v>918</v>
      </c>
      <c r="J11" s="216"/>
      <c r="K11" s="217" t="s">
        <v>919</v>
      </c>
      <c r="L11" s="216"/>
      <c r="M11" s="217" t="s">
        <v>920</v>
      </c>
      <c r="N11" s="216"/>
      <c r="O11" s="217" t="s">
        <v>921</v>
      </c>
      <c r="P11" s="216"/>
      <c r="Q11" s="217" t="s">
        <v>922</v>
      </c>
      <c r="R11" s="216"/>
      <c r="AC11" s="156">
        <v>4</v>
      </c>
      <c r="AD11" s="155">
        <v>2</v>
      </c>
      <c r="AE11" s="155">
        <v>14</v>
      </c>
      <c r="AF11" s="155">
        <v>116</v>
      </c>
      <c r="AG11" s="155">
        <v>130</v>
      </c>
      <c r="AH11" s="155">
        <v>5</v>
      </c>
      <c r="AI11" s="155">
        <v>27</v>
      </c>
      <c r="AJ11" s="155">
        <v>32</v>
      </c>
      <c r="AK11" s="155">
        <v>14</v>
      </c>
      <c r="AL11" s="157">
        <v>1100</v>
      </c>
      <c r="AN11" s="1" t="s">
        <v>29</v>
      </c>
      <c r="AP11" s="1" t="s">
        <v>1060</v>
      </c>
      <c r="AT11" s="1" t="s">
        <v>1061</v>
      </c>
      <c r="AU11" s="1">
        <v>11</v>
      </c>
      <c r="AV11" s="1" t="s">
        <v>1045</v>
      </c>
      <c r="AW11" s="1">
        <v>0</v>
      </c>
    </row>
    <row r="12" spans="1:49" ht="15.75" thickBot="1" x14ac:dyDescent="0.3">
      <c r="A12" s="153">
        <v>2</v>
      </c>
      <c r="B12" s="254" t="s">
        <v>1062</v>
      </c>
      <c r="C12" s="254"/>
      <c r="D12" s="254"/>
      <c r="E12" s="254"/>
      <c r="G12" s="180" t="s">
        <v>923</v>
      </c>
      <c r="H12" s="181"/>
      <c r="I12" s="181"/>
      <c r="J12" s="181"/>
      <c r="K12" s="181"/>
      <c r="L12" s="182"/>
      <c r="M12" s="180" t="s">
        <v>924</v>
      </c>
      <c r="N12" s="181"/>
      <c r="O12" s="181"/>
      <c r="P12" s="181"/>
      <c r="Q12" s="181"/>
      <c r="R12" s="182"/>
      <c r="AC12" s="156">
        <v>5</v>
      </c>
      <c r="AD12" s="155">
        <v>3</v>
      </c>
      <c r="AE12" s="155">
        <v>15</v>
      </c>
      <c r="AF12" s="155">
        <v>131</v>
      </c>
      <c r="AG12" s="155">
        <v>145</v>
      </c>
      <c r="AH12" s="155">
        <v>6</v>
      </c>
      <c r="AI12" s="155">
        <v>33</v>
      </c>
      <c r="AJ12" s="155">
        <v>38</v>
      </c>
      <c r="AK12" s="155">
        <v>15</v>
      </c>
      <c r="AL12" s="157">
        <v>1800</v>
      </c>
      <c r="AN12" s="1" t="s">
        <v>30</v>
      </c>
      <c r="AP12" s="1" t="s">
        <v>1063</v>
      </c>
      <c r="AT12" s="1" t="s">
        <v>1013</v>
      </c>
      <c r="AU12" s="1">
        <v>12</v>
      </c>
      <c r="AV12" s="1" t="s">
        <v>1064</v>
      </c>
      <c r="AW12" s="1">
        <v>2</v>
      </c>
    </row>
    <row r="13" spans="1:49" ht="16.5" x14ac:dyDescent="0.3">
      <c r="G13" s="131" t="s">
        <v>917</v>
      </c>
      <c r="H13" s="132">
        <f>IFERROR(IF(I13="prof",G9+G2,G9),"")</f>
        <v>3</v>
      </c>
      <c r="I13" s="133" t="s">
        <v>932</v>
      </c>
      <c r="J13" s="134" t="s">
        <v>920</v>
      </c>
      <c r="K13" s="135">
        <f>IFERROR(IF(L13="prof",M9+G2,M9),"")</f>
        <v>1</v>
      </c>
      <c r="L13" s="136" t="s">
        <v>925</v>
      </c>
      <c r="M13" s="207" t="s">
        <v>926</v>
      </c>
      <c r="N13" s="208"/>
      <c r="O13" s="208"/>
      <c r="P13" s="211">
        <f>IFERROR(IF(R13="prof",O9+G2,O9),"")</f>
        <v>2</v>
      </c>
      <c r="Q13" s="211"/>
      <c r="R13" s="213" t="s">
        <v>932</v>
      </c>
      <c r="AC13" s="156">
        <v>6</v>
      </c>
      <c r="AD13" s="155">
        <v>3</v>
      </c>
      <c r="AE13" s="155">
        <v>15</v>
      </c>
      <c r="AF13" s="155">
        <v>146</v>
      </c>
      <c r="AG13" s="155">
        <v>160</v>
      </c>
      <c r="AH13" s="155">
        <v>6</v>
      </c>
      <c r="AI13" s="155">
        <v>39</v>
      </c>
      <c r="AJ13" s="155">
        <v>44</v>
      </c>
      <c r="AK13" s="155">
        <v>15</v>
      </c>
      <c r="AL13" s="157">
        <v>2300</v>
      </c>
      <c r="AN13" s="1" t="s">
        <v>31</v>
      </c>
      <c r="AP13" s="1" t="s">
        <v>1065</v>
      </c>
      <c r="AT13" s="1" t="s">
        <v>1066</v>
      </c>
      <c r="AU13" s="1">
        <v>12</v>
      </c>
    </row>
    <row r="14" spans="1:49" ht="16.5" x14ac:dyDescent="0.3">
      <c r="B14" s="1" t="s">
        <v>0</v>
      </c>
      <c r="C14" s="155">
        <f>P5</f>
        <v>44</v>
      </c>
      <c r="D14" s="1" t="s">
        <v>11</v>
      </c>
      <c r="E14" s="1">
        <f>INDEX(AC4:AC37,MATCH(C14,AF4:AF37,1),1)</f>
        <v>0.25</v>
      </c>
      <c r="G14" s="134" t="s">
        <v>918</v>
      </c>
      <c r="H14" s="135">
        <f>IFERROR(IF(I14="prof",I9+G2,I9),"")</f>
        <v>3</v>
      </c>
      <c r="I14" s="137" t="s">
        <v>925</v>
      </c>
      <c r="J14" s="134" t="s">
        <v>921</v>
      </c>
      <c r="K14" s="135">
        <f>IFERROR(IF(L14="prof",O9+G2,O9),"")</f>
        <v>2</v>
      </c>
      <c r="L14" s="136" t="s">
        <v>932</v>
      </c>
      <c r="M14" s="209"/>
      <c r="N14" s="210"/>
      <c r="O14" s="210"/>
      <c r="P14" s="212"/>
      <c r="Q14" s="212"/>
      <c r="R14" s="214"/>
      <c r="AC14" s="156">
        <v>7</v>
      </c>
      <c r="AD14" s="155">
        <v>3</v>
      </c>
      <c r="AE14" s="155">
        <v>15</v>
      </c>
      <c r="AF14" s="155">
        <v>161</v>
      </c>
      <c r="AG14" s="155">
        <v>175</v>
      </c>
      <c r="AH14" s="155">
        <v>6</v>
      </c>
      <c r="AI14" s="155">
        <v>45</v>
      </c>
      <c r="AJ14" s="155">
        <v>50</v>
      </c>
      <c r="AK14" s="155">
        <v>15</v>
      </c>
      <c r="AL14" s="157">
        <v>2900</v>
      </c>
      <c r="AN14" s="1" t="s">
        <v>32</v>
      </c>
      <c r="AP14" s="1" t="s">
        <v>1067</v>
      </c>
      <c r="AT14" s="1" t="s">
        <v>1068</v>
      </c>
      <c r="AU14" s="1">
        <v>13</v>
      </c>
    </row>
    <row r="15" spans="1:49" ht="17.25" thickBot="1" x14ac:dyDescent="0.35">
      <c r="B15" s="1" t="s">
        <v>1069</v>
      </c>
      <c r="C15" s="1">
        <f>N3</f>
        <v>16</v>
      </c>
      <c r="D15" s="1" t="s">
        <v>1070</v>
      </c>
      <c r="E15" s="1">
        <f>INDEX(AE4:AE37,MATCH(E14,AC4:AC37,0),1)</f>
        <v>13</v>
      </c>
      <c r="G15" s="134" t="s">
        <v>919</v>
      </c>
      <c r="H15" s="135">
        <f>IFERROR(IF(I15="prof",K9+G2,K9),"")</f>
        <v>3</v>
      </c>
      <c r="I15" s="137" t="s">
        <v>932</v>
      </c>
      <c r="J15" s="134" t="s">
        <v>927</v>
      </c>
      <c r="K15" s="135">
        <f>IFERROR(IF(L15="prof",Q9+G2,Q9),"")</f>
        <v>2</v>
      </c>
      <c r="L15" s="136" t="s">
        <v>925</v>
      </c>
      <c r="M15" s="199" t="s">
        <v>983</v>
      </c>
      <c r="N15" s="186"/>
      <c r="O15" s="138">
        <v>120</v>
      </c>
      <c r="P15" s="199" t="s">
        <v>915</v>
      </c>
      <c r="Q15" s="186"/>
      <c r="R15" s="139">
        <v>0</v>
      </c>
      <c r="AC15" s="156">
        <v>8</v>
      </c>
      <c r="AD15" s="155">
        <v>3</v>
      </c>
      <c r="AE15" s="155">
        <v>16</v>
      </c>
      <c r="AF15" s="155">
        <v>176</v>
      </c>
      <c r="AG15" s="155">
        <v>190</v>
      </c>
      <c r="AH15" s="155">
        <v>7</v>
      </c>
      <c r="AI15" s="155">
        <v>51</v>
      </c>
      <c r="AJ15" s="155">
        <v>56</v>
      </c>
      <c r="AK15" s="155">
        <v>16</v>
      </c>
      <c r="AL15" s="157">
        <v>3900</v>
      </c>
      <c r="AN15" s="1" t="s">
        <v>33</v>
      </c>
      <c r="AP15" s="1" t="s">
        <v>1072</v>
      </c>
      <c r="AT15" s="1" t="s">
        <v>1073</v>
      </c>
      <c r="AU15" s="1">
        <v>14</v>
      </c>
    </row>
    <row r="16" spans="1:49" ht="15.75" thickBot="1" x14ac:dyDescent="0.3">
      <c r="B16" s="186" t="s">
        <v>1074</v>
      </c>
      <c r="C16" s="186"/>
      <c r="D16" s="186"/>
      <c r="E16" s="1">
        <f>C15-E15</f>
        <v>3</v>
      </c>
      <c r="G16" s="180" t="s">
        <v>928</v>
      </c>
      <c r="H16" s="181"/>
      <c r="I16" s="181"/>
      <c r="J16" s="181"/>
      <c r="K16" s="181"/>
      <c r="L16" s="182"/>
      <c r="M16" s="180" t="s">
        <v>929</v>
      </c>
      <c r="N16" s="181"/>
      <c r="O16" s="181"/>
      <c r="P16" s="181"/>
      <c r="Q16" s="181"/>
      <c r="R16" s="182"/>
      <c r="AC16" s="156">
        <v>9</v>
      </c>
      <c r="AD16" s="155">
        <v>4</v>
      </c>
      <c r="AE16" s="155">
        <v>16</v>
      </c>
      <c r="AF16" s="155">
        <v>191</v>
      </c>
      <c r="AG16" s="155">
        <v>205</v>
      </c>
      <c r="AH16" s="155">
        <v>7</v>
      </c>
      <c r="AI16" s="155">
        <v>57</v>
      </c>
      <c r="AJ16" s="155">
        <v>62</v>
      </c>
      <c r="AK16" s="155">
        <v>16</v>
      </c>
      <c r="AL16" s="157">
        <v>5000</v>
      </c>
      <c r="AN16" s="1" t="s">
        <v>34</v>
      </c>
      <c r="AP16" s="1" t="s">
        <v>1075</v>
      </c>
      <c r="AT16" s="1" t="s">
        <v>1076</v>
      </c>
      <c r="AU16" s="1">
        <v>14</v>
      </c>
    </row>
    <row r="17" spans="1:47" ht="16.5" x14ac:dyDescent="0.3">
      <c r="B17" s="186" t="s">
        <v>1077</v>
      </c>
      <c r="C17" s="186"/>
      <c r="D17" s="186"/>
      <c r="E17" s="1">
        <f>E16/2</f>
        <v>1.5</v>
      </c>
      <c r="G17" s="199" t="s">
        <v>969</v>
      </c>
      <c r="H17" s="186"/>
      <c r="I17" s="186"/>
      <c r="J17" s="140" t="s">
        <v>938</v>
      </c>
      <c r="K17" s="140">
        <f>IF(L17="expert",2,IF(L17="prof",1,0))*G2+VALUE(IF(J17="Str",G9,IF(J17="Dex",I9,IF(J17="Con",K9,IF(J17="Int",M9,IF(J17="Wis",O9,IF(J17="Cha",Q9,"")))))))</f>
        <v>2</v>
      </c>
      <c r="L17" s="141" t="s">
        <v>932</v>
      </c>
      <c r="M17" s="205"/>
      <c r="N17" s="206"/>
      <c r="O17" s="142"/>
      <c r="P17" s="206"/>
      <c r="Q17" s="206"/>
      <c r="R17" s="143"/>
      <c r="AC17" s="156">
        <v>10</v>
      </c>
      <c r="AD17" s="155">
        <v>4</v>
      </c>
      <c r="AE17" s="155">
        <v>17</v>
      </c>
      <c r="AF17" s="155">
        <v>206</v>
      </c>
      <c r="AG17" s="155">
        <v>220</v>
      </c>
      <c r="AH17" s="155">
        <v>7</v>
      </c>
      <c r="AI17" s="155">
        <v>63</v>
      </c>
      <c r="AJ17" s="155">
        <v>68</v>
      </c>
      <c r="AK17" s="155">
        <v>16</v>
      </c>
      <c r="AL17" s="157">
        <v>5900</v>
      </c>
      <c r="AN17" s="1" t="s">
        <v>35</v>
      </c>
      <c r="AP17" s="1" t="s">
        <v>1078</v>
      </c>
      <c r="AT17" s="1" t="s">
        <v>1079</v>
      </c>
      <c r="AU17" s="1">
        <v>15</v>
      </c>
    </row>
    <row r="18" spans="1:47" ht="16.5" x14ac:dyDescent="0.3">
      <c r="B18" s="186" t="s">
        <v>1080</v>
      </c>
      <c r="C18" s="186"/>
      <c r="D18" s="186"/>
      <c r="E18" s="1">
        <f>E14+E17</f>
        <v>1.75</v>
      </c>
      <c r="G18" s="199" t="s">
        <v>986</v>
      </c>
      <c r="H18" s="186"/>
      <c r="I18" s="186"/>
      <c r="J18" s="140" t="s">
        <v>934</v>
      </c>
      <c r="K18" s="140">
        <f>IF(L18="expert",2,IF(L18="prof",1,0))*MonsterStats!$A$2+VALUE(IF(J18="Str",G9,IF(J18="Dex",I9,IF(J18="Con",K9,IF(J18="Int",M9,IF(J18="Wis",O9,IF(J18="Cha",Q9,"")))))))</f>
        <v>5</v>
      </c>
      <c r="L18" s="141" t="s">
        <v>932</v>
      </c>
      <c r="M18" s="199"/>
      <c r="N18" s="186"/>
      <c r="O18" s="137"/>
      <c r="P18" s="186"/>
      <c r="Q18" s="186"/>
      <c r="R18" s="141"/>
      <c r="AC18" s="156">
        <v>11</v>
      </c>
      <c r="AD18" s="155">
        <v>4</v>
      </c>
      <c r="AE18" s="155">
        <v>17</v>
      </c>
      <c r="AF18" s="155">
        <v>221</v>
      </c>
      <c r="AG18" s="155">
        <v>235</v>
      </c>
      <c r="AH18" s="155">
        <v>8</v>
      </c>
      <c r="AI18" s="155">
        <v>69</v>
      </c>
      <c r="AJ18" s="155">
        <v>74</v>
      </c>
      <c r="AK18" s="155">
        <v>17</v>
      </c>
      <c r="AL18" s="157">
        <v>7200</v>
      </c>
      <c r="AN18" s="1" t="s">
        <v>36</v>
      </c>
      <c r="AP18" s="1" t="s">
        <v>1081</v>
      </c>
      <c r="AT18" s="1" t="s">
        <v>1082</v>
      </c>
      <c r="AU18" s="1">
        <v>14</v>
      </c>
    </row>
    <row r="19" spans="1:47" ht="16.5" x14ac:dyDescent="0.3">
      <c r="G19" s="199" t="s">
        <v>987</v>
      </c>
      <c r="H19" s="186"/>
      <c r="I19" s="186"/>
      <c r="J19" s="140" t="s">
        <v>935</v>
      </c>
      <c r="K19" s="140">
        <f>IF(L19="expert",2,IF(L19="prof",1,0))*MonsterStats!$A$2+VALUE(IF(J19="Str",G9,IF(J19="Dex",I9,IF(J19="Con",K9,IF(J19="Int",M9,IF(J19="Wis",O9,IF(J19="Cha",Q9,"")))))))</f>
        <v>1</v>
      </c>
      <c r="L19" s="141" t="s">
        <v>915</v>
      </c>
      <c r="M19" s="199"/>
      <c r="N19" s="186"/>
      <c r="O19" s="137"/>
      <c r="P19" s="186"/>
      <c r="Q19" s="186"/>
      <c r="R19" s="141"/>
      <c r="AC19" s="156">
        <v>12</v>
      </c>
      <c r="AD19" s="155">
        <v>4</v>
      </c>
      <c r="AE19" s="155">
        <v>17</v>
      </c>
      <c r="AF19" s="155">
        <v>236</v>
      </c>
      <c r="AG19" s="155">
        <v>250</v>
      </c>
      <c r="AH19" s="155">
        <v>8</v>
      </c>
      <c r="AI19" s="155">
        <v>75</v>
      </c>
      <c r="AJ19" s="155">
        <v>80</v>
      </c>
      <c r="AK19" s="155">
        <v>17</v>
      </c>
      <c r="AL19" s="157">
        <v>8400</v>
      </c>
      <c r="AN19" s="1" t="s">
        <v>37</v>
      </c>
      <c r="AP19" s="1" t="s">
        <v>1083</v>
      </c>
      <c r="AT19" s="1" t="s">
        <v>1084</v>
      </c>
      <c r="AU19" s="1">
        <v>16</v>
      </c>
    </row>
    <row r="20" spans="1:47" ht="16.5" x14ac:dyDescent="0.3">
      <c r="A20" s="153" t="s">
        <v>1085</v>
      </c>
      <c r="B20" s="254" t="s">
        <v>1086</v>
      </c>
      <c r="C20" s="254"/>
      <c r="D20" s="254"/>
      <c r="E20" s="254"/>
      <c r="G20" s="199" t="s">
        <v>936</v>
      </c>
      <c r="H20" s="186"/>
      <c r="I20" s="186"/>
      <c r="J20" s="140" t="s">
        <v>935</v>
      </c>
      <c r="K20" s="140">
        <f>IF(L20="expert",2,IF(L20="prof",1,0))*MonsterStats!$A$2+VALUE(IF(J20="Str",G9,IF(J20="Dex",I9,IF(J20="Con",K9,IF(J20="Int",M9,IF(J20="Wis",O9,IF(J20="Cha",Q9,"")))))))</f>
        <v>1</v>
      </c>
      <c r="L20" s="141" t="s">
        <v>915</v>
      </c>
      <c r="M20" s="199"/>
      <c r="N20" s="186"/>
      <c r="O20" s="137"/>
      <c r="P20" s="186"/>
      <c r="Q20" s="186"/>
      <c r="R20" s="141"/>
      <c r="AC20" s="156">
        <v>13</v>
      </c>
      <c r="AD20" s="155">
        <v>5</v>
      </c>
      <c r="AE20" s="155">
        <v>18</v>
      </c>
      <c r="AF20" s="155">
        <v>251</v>
      </c>
      <c r="AG20" s="155">
        <v>265</v>
      </c>
      <c r="AH20" s="155">
        <v>8</v>
      </c>
      <c r="AI20" s="155">
        <v>81</v>
      </c>
      <c r="AJ20" s="155">
        <v>86</v>
      </c>
      <c r="AK20" s="155">
        <v>18</v>
      </c>
      <c r="AL20" s="157">
        <v>10000</v>
      </c>
      <c r="AN20" s="1" t="s">
        <v>38</v>
      </c>
      <c r="AP20" s="1" t="s">
        <v>1087</v>
      </c>
      <c r="AT20" s="1" t="s">
        <v>1088</v>
      </c>
      <c r="AU20" s="1">
        <v>17</v>
      </c>
    </row>
    <row r="21" spans="1:47" ht="17.25" thickBot="1" x14ac:dyDescent="0.35">
      <c r="G21" s="197" t="s">
        <v>936</v>
      </c>
      <c r="H21" s="198"/>
      <c r="I21" s="198"/>
      <c r="J21" s="144" t="s">
        <v>938</v>
      </c>
      <c r="K21" s="144">
        <f>IF(L21="expert",2,IF(L21="prof",1,0))*MonsterStats!$A$2+VALUE(IF(J21="Str",G9,IF(J21="Dex",I9,IF(J21="Con",K9,IF(J21="Int",M9,IF(J21="Wis",O9,IF(J21="Cha",Q9,"")))))))</f>
        <v>0</v>
      </c>
      <c r="L21" s="141" t="s">
        <v>915</v>
      </c>
      <c r="M21" s="199"/>
      <c r="N21" s="186"/>
      <c r="O21" s="137"/>
      <c r="P21" s="186"/>
      <c r="Q21" s="186"/>
      <c r="R21" s="141"/>
      <c r="AC21" s="156">
        <v>14</v>
      </c>
      <c r="AD21" s="155">
        <v>5</v>
      </c>
      <c r="AE21" s="155">
        <v>18</v>
      </c>
      <c r="AF21" s="155">
        <v>266</v>
      </c>
      <c r="AG21" s="155">
        <v>280</v>
      </c>
      <c r="AH21" s="155">
        <v>8</v>
      </c>
      <c r="AI21" s="155">
        <v>87</v>
      </c>
      <c r="AJ21" s="155">
        <v>92</v>
      </c>
      <c r="AK21" s="155">
        <v>18</v>
      </c>
      <c r="AL21" s="157">
        <v>11500</v>
      </c>
      <c r="AN21" s="1" t="s">
        <v>39</v>
      </c>
      <c r="AT21" s="1" t="s">
        <v>1089</v>
      </c>
      <c r="AU21" s="1">
        <v>18</v>
      </c>
    </row>
    <row r="22" spans="1:47" ht="17.25" thickBot="1" x14ac:dyDescent="0.35">
      <c r="C22" t="s">
        <v>1090</v>
      </c>
      <c r="D22" t="s">
        <v>1091</v>
      </c>
      <c r="E22" t="s">
        <v>1092</v>
      </c>
      <c r="G22" s="200" t="s">
        <v>939</v>
      </c>
      <c r="H22" s="201"/>
      <c r="I22" s="201"/>
      <c r="J22" s="202"/>
      <c r="K22" s="203" t="s">
        <v>940</v>
      </c>
      <c r="L22" s="204"/>
      <c r="M22" s="185"/>
      <c r="N22" s="186"/>
      <c r="O22" s="137"/>
      <c r="P22" s="186"/>
      <c r="Q22" s="186"/>
      <c r="R22" s="141"/>
      <c r="AC22" s="156">
        <v>15</v>
      </c>
      <c r="AD22" s="155">
        <v>5</v>
      </c>
      <c r="AE22" s="155">
        <v>18</v>
      </c>
      <c r="AF22" s="155">
        <v>281</v>
      </c>
      <c r="AG22" s="155">
        <v>295</v>
      </c>
      <c r="AH22" s="155">
        <v>8</v>
      </c>
      <c r="AI22" s="155">
        <v>93</v>
      </c>
      <c r="AJ22" s="155">
        <v>98</v>
      </c>
      <c r="AK22" s="155">
        <v>18</v>
      </c>
      <c r="AL22" s="157">
        <v>13000</v>
      </c>
      <c r="AN22" s="1" t="s">
        <v>40</v>
      </c>
    </row>
    <row r="23" spans="1:47" ht="16.5" x14ac:dyDescent="0.3">
      <c r="B23" s="1" t="s">
        <v>1039</v>
      </c>
      <c r="C23" s="1">
        <f>COUNTIF(O17:O24,"resist")</f>
        <v>0</v>
      </c>
      <c r="D23" s="1">
        <f>INDEX(AR3:AR6,MATCH(R5,AQ3:AQ6,1)+E23,1)*IF(C23&gt;0,1,0)</f>
        <v>0</v>
      </c>
      <c r="E23" s="161"/>
      <c r="G23" s="190" t="s">
        <v>1117</v>
      </c>
      <c r="H23" s="191"/>
      <c r="I23" s="191"/>
      <c r="J23" s="191"/>
      <c r="K23" s="186"/>
      <c r="L23" s="192"/>
      <c r="M23" s="185"/>
      <c r="N23" s="186"/>
      <c r="O23" s="137"/>
      <c r="P23" s="186"/>
      <c r="Q23" s="186"/>
      <c r="R23" s="141"/>
      <c r="AC23" s="156">
        <v>16</v>
      </c>
      <c r="AD23" s="155">
        <v>5</v>
      </c>
      <c r="AE23" s="155">
        <v>18</v>
      </c>
      <c r="AF23" s="155">
        <v>296</v>
      </c>
      <c r="AG23" s="155">
        <v>310</v>
      </c>
      <c r="AH23" s="155">
        <v>9</v>
      </c>
      <c r="AI23" s="155">
        <v>99</v>
      </c>
      <c r="AJ23" s="155">
        <v>104</v>
      </c>
      <c r="AK23" s="155">
        <v>18</v>
      </c>
      <c r="AL23" s="157">
        <v>15000</v>
      </c>
      <c r="AN23" s="1" t="s">
        <v>41</v>
      </c>
    </row>
    <row r="24" spans="1:47" ht="17.25" thickBot="1" x14ac:dyDescent="0.35">
      <c r="B24" s="1" t="s">
        <v>1040</v>
      </c>
      <c r="C24" s="1">
        <f>COUNTIF(O17:O24,"immun")</f>
        <v>0</v>
      </c>
      <c r="D24" s="1">
        <f>INDEX(AS3:AS6,MATCH(R5,AQ3:AQ6,1)+E24,1)*IF(C24&gt;0,1,0)</f>
        <v>0</v>
      </c>
      <c r="E24" s="161"/>
      <c r="G24" s="193"/>
      <c r="H24" s="194"/>
      <c r="I24" s="194"/>
      <c r="J24" s="194"/>
      <c r="K24" s="194"/>
      <c r="L24" s="195"/>
      <c r="M24" s="196"/>
      <c r="N24" s="194"/>
      <c r="O24" s="146"/>
      <c r="P24" s="194"/>
      <c r="Q24" s="194"/>
      <c r="R24" s="147"/>
      <c r="AC24" s="156">
        <v>17</v>
      </c>
      <c r="AD24" s="155">
        <v>6</v>
      </c>
      <c r="AE24" s="155">
        <v>19</v>
      </c>
      <c r="AF24" s="155">
        <v>311</v>
      </c>
      <c r="AG24" s="155">
        <v>325</v>
      </c>
      <c r="AH24" s="155">
        <v>10</v>
      </c>
      <c r="AI24" s="155">
        <v>105</v>
      </c>
      <c r="AJ24" s="155">
        <v>110</v>
      </c>
      <c r="AK24" s="155">
        <v>19</v>
      </c>
      <c r="AL24" s="157">
        <v>18000</v>
      </c>
    </row>
    <row r="25" spans="1:47" ht="15.75" thickBot="1" x14ac:dyDescent="0.3">
      <c r="B25" s="1" t="s">
        <v>1093</v>
      </c>
      <c r="C25" s="1">
        <f>COUNTIF(O17:O24,"vulner")</f>
        <v>0</v>
      </c>
      <c r="D25" s="1"/>
      <c r="E25" s="1"/>
      <c r="G25" s="177" t="s">
        <v>941</v>
      </c>
      <c r="H25" s="178"/>
      <c r="I25" s="178"/>
      <c r="J25" s="178"/>
      <c r="K25" s="178"/>
      <c r="L25" s="179"/>
      <c r="M25" s="180" t="s">
        <v>942</v>
      </c>
      <c r="N25" s="181"/>
      <c r="O25" s="181"/>
      <c r="P25" s="181"/>
      <c r="Q25" s="181"/>
      <c r="R25" s="182"/>
      <c r="AC25" s="156">
        <v>18</v>
      </c>
      <c r="AD25" s="155">
        <v>6</v>
      </c>
      <c r="AE25" s="155">
        <v>19</v>
      </c>
      <c r="AF25" s="155">
        <v>326</v>
      </c>
      <c r="AG25" s="155">
        <v>340</v>
      </c>
      <c r="AH25" s="155">
        <v>10</v>
      </c>
      <c r="AI25" s="155">
        <v>111</v>
      </c>
      <c r="AJ25" s="155">
        <v>116</v>
      </c>
      <c r="AK25" s="155">
        <v>19</v>
      </c>
      <c r="AL25" s="157">
        <v>20000</v>
      </c>
    </row>
    <row r="26" spans="1:47" x14ac:dyDescent="0.25">
      <c r="B26" s="255" t="s">
        <v>1094</v>
      </c>
      <c r="C26" s="255"/>
      <c r="D26">
        <f>MAX(D23:D25)</f>
        <v>0</v>
      </c>
      <c r="G26" s="183" t="s">
        <v>943</v>
      </c>
      <c r="H26" s="183"/>
      <c r="I26" s="148" t="s">
        <v>944</v>
      </c>
      <c r="J26" s="149" t="s">
        <v>945</v>
      </c>
      <c r="K26" s="149" t="s">
        <v>946</v>
      </c>
      <c r="L26" s="150" t="s">
        <v>947</v>
      </c>
      <c r="M26" s="205"/>
      <c r="N26" s="206"/>
      <c r="O26" s="206"/>
      <c r="P26" s="206"/>
      <c r="Q26" s="206"/>
      <c r="R26" s="204"/>
      <c r="S26" s="162" t="s">
        <v>1095</v>
      </c>
      <c r="T26" s="162" t="s">
        <v>1096</v>
      </c>
      <c r="U26" s="162" t="s">
        <v>1097</v>
      </c>
      <c r="V26" s="162" t="s">
        <v>1098</v>
      </c>
      <c r="AC26" s="156">
        <v>19</v>
      </c>
      <c r="AD26" s="155">
        <v>6</v>
      </c>
      <c r="AE26" s="155">
        <v>19</v>
      </c>
      <c r="AF26" s="155">
        <v>341</v>
      </c>
      <c r="AG26" s="155">
        <v>355</v>
      </c>
      <c r="AH26" s="155">
        <v>10</v>
      </c>
      <c r="AI26" s="155">
        <v>117</v>
      </c>
      <c r="AJ26" s="155">
        <v>122</v>
      </c>
      <c r="AK26" s="155">
        <v>19</v>
      </c>
      <c r="AL26" s="157">
        <v>22000</v>
      </c>
    </row>
    <row r="27" spans="1:47" x14ac:dyDescent="0.25">
      <c r="B27" s="253" t="s">
        <v>1099</v>
      </c>
      <c r="C27" s="253"/>
      <c r="D27">
        <f>IF(D26=0,1,D26)*P5</f>
        <v>44</v>
      </c>
      <c r="G27" s="186" t="s">
        <v>1119</v>
      </c>
      <c r="H27" s="186"/>
      <c r="I27" s="140">
        <v>2</v>
      </c>
      <c r="J27" s="1" t="s">
        <v>950</v>
      </c>
      <c r="K27" s="158">
        <v>5</v>
      </c>
      <c r="L27" s="163" t="s">
        <v>993</v>
      </c>
      <c r="M27" s="199"/>
      <c r="N27" s="186"/>
      <c r="O27" s="186"/>
      <c r="P27" s="186"/>
      <c r="Q27" s="186"/>
      <c r="R27" s="192"/>
      <c r="S27">
        <v>4</v>
      </c>
      <c r="T27">
        <v>9</v>
      </c>
      <c r="U27">
        <f>AVERAGE(S27:T27)</f>
        <v>6.5</v>
      </c>
      <c r="V27">
        <f>U27*I27</f>
        <v>13</v>
      </c>
      <c r="AC27" s="156">
        <v>20</v>
      </c>
      <c r="AD27" s="155">
        <v>6</v>
      </c>
      <c r="AE27" s="155">
        <v>19</v>
      </c>
      <c r="AF27" s="155">
        <v>356</v>
      </c>
      <c r="AG27" s="155">
        <v>400</v>
      </c>
      <c r="AH27" s="155">
        <v>10</v>
      </c>
      <c r="AI27" s="155">
        <v>123</v>
      </c>
      <c r="AJ27" s="155">
        <v>140</v>
      </c>
      <c r="AK27" s="155">
        <v>19</v>
      </c>
      <c r="AL27" s="157">
        <v>25000</v>
      </c>
    </row>
    <row r="28" spans="1:47" x14ac:dyDescent="0.25">
      <c r="G28" s="186" t="s">
        <v>1140</v>
      </c>
      <c r="H28" s="186"/>
      <c r="I28" s="140">
        <v>1</v>
      </c>
      <c r="J28" s="1" t="s">
        <v>995</v>
      </c>
      <c r="K28" s="1">
        <v>4</v>
      </c>
      <c r="L28" s="65" t="s">
        <v>1141</v>
      </c>
      <c r="M28" s="199"/>
      <c r="N28" s="186"/>
      <c r="O28" s="186"/>
      <c r="P28" s="186"/>
      <c r="Q28" s="186"/>
      <c r="R28" s="192"/>
      <c r="AC28" s="156">
        <v>21</v>
      </c>
      <c r="AD28" s="155">
        <v>7</v>
      </c>
      <c r="AE28" s="155">
        <v>19</v>
      </c>
      <c r="AF28" s="155">
        <v>401</v>
      </c>
      <c r="AG28" s="155">
        <v>445</v>
      </c>
      <c r="AH28" s="155">
        <v>11</v>
      </c>
      <c r="AI28" s="155">
        <v>141</v>
      </c>
      <c r="AJ28" s="155">
        <v>158</v>
      </c>
      <c r="AK28" s="155">
        <v>20</v>
      </c>
      <c r="AL28" s="157">
        <v>33000</v>
      </c>
    </row>
    <row r="29" spans="1:47" x14ac:dyDescent="0.25">
      <c r="A29" t="s">
        <v>1100</v>
      </c>
      <c r="B29" s="254" t="s">
        <v>1101</v>
      </c>
      <c r="C29" s="254"/>
      <c r="D29" s="254"/>
      <c r="E29" s="254"/>
      <c r="G29" s="186"/>
      <c r="H29" s="186"/>
      <c r="I29" s="140"/>
      <c r="J29" s="1"/>
      <c r="K29" s="1"/>
      <c r="L29" s="65"/>
      <c r="M29" s="199"/>
      <c r="N29" s="186"/>
      <c r="O29" s="186"/>
      <c r="P29" s="186"/>
      <c r="Q29" s="186"/>
      <c r="R29" s="192"/>
      <c r="AC29" s="156">
        <v>22</v>
      </c>
      <c r="AD29" s="155">
        <v>7</v>
      </c>
      <c r="AE29" s="155">
        <v>19</v>
      </c>
      <c r="AF29" s="155">
        <v>446</v>
      </c>
      <c r="AG29" s="155">
        <v>490</v>
      </c>
      <c r="AH29" s="155">
        <v>11</v>
      </c>
      <c r="AI29" s="155">
        <v>159</v>
      </c>
      <c r="AJ29" s="155">
        <v>176</v>
      </c>
      <c r="AK29" s="155">
        <v>20</v>
      </c>
      <c r="AL29" s="157">
        <v>41000</v>
      </c>
    </row>
    <row r="30" spans="1:47" ht="16.5" x14ac:dyDescent="0.3">
      <c r="B30" t="s">
        <v>1102</v>
      </c>
      <c r="C30">
        <f>IF(OR(AND(J7="fly",J5&gt;0),AND(K7="fly",K5&gt;0),AND(K7="fly",K5&gt;0)),1,0)</f>
        <v>0</v>
      </c>
      <c r="D30" t="s">
        <v>1103</v>
      </c>
      <c r="E30" s="164">
        <f>2*C30</f>
        <v>0</v>
      </c>
      <c r="G30" s="187" t="s">
        <v>959</v>
      </c>
      <c r="H30" s="187"/>
      <c r="I30" s="187"/>
      <c r="J30" s="188" t="s">
        <v>927</v>
      </c>
      <c r="K30" s="189"/>
      <c r="L30" s="189"/>
      <c r="M30" s="199"/>
      <c r="N30" s="186"/>
      <c r="O30" s="186"/>
      <c r="P30" s="186"/>
      <c r="Q30" s="186"/>
      <c r="R30" s="192"/>
      <c r="AC30" s="156">
        <v>23</v>
      </c>
      <c r="AD30" s="155">
        <v>7</v>
      </c>
      <c r="AE30" s="155">
        <v>19</v>
      </c>
      <c r="AF30" s="155">
        <v>491</v>
      </c>
      <c r="AG30" s="155">
        <v>535</v>
      </c>
      <c r="AH30" s="155">
        <v>11</v>
      </c>
      <c r="AI30" s="155">
        <v>177</v>
      </c>
      <c r="AJ30" s="155">
        <v>194</v>
      </c>
      <c r="AK30" s="155">
        <v>20</v>
      </c>
      <c r="AL30" s="157">
        <v>50000</v>
      </c>
    </row>
    <row r="31" spans="1:47" ht="15.75" thickBot="1" x14ac:dyDescent="0.3">
      <c r="B31" t="s">
        <v>1104</v>
      </c>
      <c r="C31">
        <f>COUNTIF(I13:I15,"prof")+COUNTIF(L13:L15,"prof")</f>
        <v>3</v>
      </c>
      <c r="D31" t="s">
        <v>1103</v>
      </c>
      <c r="E31">
        <f>IFERROR(IF(C31&lt;3,0,IF(C31&lt;5,2,4)),0)</f>
        <v>2</v>
      </c>
      <c r="G31" s="167" t="s">
        <v>960</v>
      </c>
      <c r="H31" s="167"/>
      <c r="I31" s="144">
        <f>G2+IF(J30="Int",M9,IF(J30="Wis",O9,IF(J30="Cha",Q9,0)))</f>
        <v>4</v>
      </c>
      <c r="J31" s="167" t="s">
        <v>961</v>
      </c>
      <c r="K31" s="167"/>
      <c r="L31" s="152">
        <f>8+G2+IF(J30="Int",M9,IF(J30="Wis",O9,IF(J30="Cha",Q9,0)))</f>
        <v>12</v>
      </c>
      <c r="M31" s="199"/>
      <c r="N31" s="186"/>
      <c r="O31" s="186"/>
      <c r="P31" s="186"/>
      <c r="Q31" s="186"/>
      <c r="R31" s="192"/>
      <c r="AC31" s="156">
        <v>24</v>
      </c>
      <c r="AD31" s="155">
        <v>7</v>
      </c>
      <c r="AE31" s="155">
        <v>19</v>
      </c>
      <c r="AF31" s="155">
        <v>536</v>
      </c>
      <c r="AG31" s="155">
        <v>580</v>
      </c>
      <c r="AH31" s="155">
        <v>12</v>
      </c>
      <c r="AI31" s="155">
        <v>195</v>
      </c>
      <c r="AJ31" s="155">
        <v>212</v>
      </c>
      <c r="AK31" s="155">
        <v>21</v>
      </c>
      <c r="AL31" s="157">
        <v>62000</v>
      </c>
    </row>
    <row r="32" spans="1:47" x14ac:dyDescent="0.25">
      <c r="B32" t="s">
        <v>1105</v>
      </c>
      <c r="D32">
        <f>N3+E30+E31</f>
        <v>18</v>
      </c>
      <c r="G32" s="205"/>
      <c r="H32" s="206"/>
      <c r="I32" s="206"/>
      <c r="J32" s="206"/>
      <c r="K32" s="206"/>
      <c r="L32" s="204"/>
      <c r="M32" s="199"/>
      <c r="N32" s="186"/>
      <c r="O32" s="186"/>
      <c r="P32" s="186"/>
      <c r="Q32" s="186"/>
      <c r="R32" s="192"/>
      <c r="AC32" s="156">
        <v>25</v>
      </c>
      <c r="AD32" s="155">
        <v>8</v>
      </c>
      <c r="AE32" s="155">
        <v>19</v>
      </c>
      <c r="AF32" s="155">
        <v>581</v>
      </c>
      <c r="AG32" s="155">
        <v>625</v>
      </c>
      <c r="AH32" s="155">
        <v>12</v>
      </c>
      <c r="AI32" s="155">
        <v>213</v>
      </c>
      <c r="AJ32" s="155">
        <v>230</v>
      </c>
      <c r="AK32" s="155">
        <v>21</v>
      </c>
      <c r="AL32" s="157">
        <v>75000</v>
      </c>
    </row>
    <row r="33" spans="2:38" x14ac:dyDescent="0.25">
      <c r="G33" s="199"/>
      <c r="H33" s="186"/>
      <c r="I33" s="186"/>
      <c r="J33" s="186"/>
      <c r="K33" s="186"/>
      <c r="L33" s="192"/>
      <c r="M33" s="199"/>
      <c r="N33" s="186"/>
      <c r="O33" s="186"/>
      <c r="P33" s="186"/>
      <c r="Q33" s="186"/>
      <c r="R33" s="192"/>
      <c r="AC33" s="156">
        <v>26</v>
      </c>
      <c r="AD33" s="155">
        <v>8</v>
      </c>
      <c r="AE33" s="155">
        <v>19</v>
      </c>
      <c r="AF33" s="155">
        <v>626</v>
      </c>
      <c r="AG33" s="155">
        <v>670</v>
      </c>
      <c r="AH33" s="155">
        <v>12</v>
      </c>
      <c r="AI33" s="155">
        <v>231</v>
      </c>
      <c r="AJ33" s="155">
        <v>248</v>
      </c>
      <c r="AK33" s="155">
        <v>21</v>
      </c>
      <c r="AL33" s="157">
        <v>90000</v>
      </c>
    </row>
    <row r="34" spans="2:38" x14ac:dyDescent="0.25">
      <c r="B34" s="254" t="s">
        <v>1106</v>
      </c>
      <c r="C34" s="254"/>
      <c r="D34" s="254"/>
      <c r="E34" s="254"/>
      <c r="G34" s="199"/>
      <c r="H34" s="186"/>
      <c r="I34" s="186"/>
      <c r="J34" s="186"/>
      <c r="K34" s="186"/>
      <c r="L34" s="192"/>
      <c r="M34" s="199"/>
      <c r="N34" s="186"/>
      <c r="O34" s="186"/>
      <c r="P34" s="186"/>
      <c r="Q34" s="186"/>
      <c r="R34" s="192"/>
      <c r="AC34" s="156">
        <v>27</v>
      </c>
      <c r="AD34" s="155">
        <v>8</v>
      </c>
      <c r="AE34" s="155">
        <v>19</v>
      </c>
      <c r="AF34" s="155">
        <v>671</v>
      </c>
      <c r="AG34" s="155">
        <v>715</v>
      </c>
      <c r="AH34" s="155">
        <v>13</v>
      </c>
      <c r="AI34" s="155">
        <v>249</v>
      </c>
      <c r="AJ34" s="155">
        <v>266</v>
      </c>
      <c r="AK34" s="155">
        <v>22</v>
      </c>
      <c r="AL34" s="157">
        <v>105000</v>
      </c>
    </row>
    <row r="35" spans="2:38" x14ac:dyDescent="0.25">
      <c r="G35" s="199"/>
      <c r="H35" s="186"/>
      <c r="I35" s="186"/>
      <c r="J35" s="186"/>
      <c r="K35" s="186"/>
      <c r="L35" s="192"/>
      <c r="M35" s="199"/>
      <c r="N35" s="186"/>
      <c r="O35" s="186"/>
      <c r="P35" s="186"/>
      <c r="Q35" s="186"/>
      <c r="R35" s="192"/>
      <c r="AC35" s="156">
        <v>28</v>
      </c>
      <c r="AD35" s="155">
        <v>8</v>
      </c>
      <c r="AE35" s="155">
        <v>19</v>
      </c>
      <c r="AF35" s="155">
        <v>716</v>
      </c>
      <c r="AG35" s="155">
        <v>760</v>
      </c>
      <c r="AH35" s="155">
        <v>13</v>
      </c>
      <c r="AI35" s="155">
        <v>267</v>
      </c>
      <c r="AJ35" s="155">
        <v>284</v>
      </c>
      <c r="AK35" s="155">
        <v>22</v>
      </c>
      <c r="AL35" s="157">
        <v>120000</v>
      </c>
    </row>
    <row r="36" spans="2:38" x14ac:dyDescent="0.25">
      <c r="B36" s="1" t="s">
        <v>1107</v>
      </c>
      <c r="C36" s="1">
        <f>V27</f>
        <v>13</v>
      </c>
      <c r="D36" s="1" t="s">
        <v>11</v>
      </c>
      <c r="E36" s="1">
        <f>INDEX(AC4:AC37,MATCH(C36,AI4:AI37,1),1)</f>
        <v>1</v>
      </c>
      <c r="G36" s="199"/>
      <c r="H36" s="186"/>
      <c r="I36" s="186"/>
      <c r="J36" s="186"/>
      <c r="K36" s="186"/>
      <c r="L36" s="192"/>
      <c r="M36" s="199"/>
      <c r="N36" s="186"/>
      <c r="O36" s="186"/>
      <c r="P36" s="186"/>
      <c r="Q36" s="186"/>
      <c r="R36" s="192"/>
      <c r="AC36" s="156">
        <v>29</v>
      </c>
      <c r="AD36" s="155">
        <v>9</v>
      </c>
      <c r="AE36" s="155">
        <v>19</v>
      </c>
      <c r="AF36" s="155">
        <v>761</v>
      </c>
      <c r="AG36" s="155">
        <v>805</v>
      </c>
      <c r="AH36" s="155">
        <v>13</v>
      </c>
      <c r="AI36" s="155">
        <v>285</v>
      </c>
      <c r="AJ36" s="155">
        <v>302</v>
      </c>
      <c r="AK36" s="155">
        <v>22</v>
      </c>
      <c r="AL36" s="157">
        <v>135000</v>
      </c>
    </row>
    <row r="37" spans="2:38" x14ac:dyDescent="0.25">
      <c r="B37" s="1" t="s">
        <v>1108</v>
      </c>
      <c r="C37" s="1">
        <f>K27</f>
        <v>5</v>
      </c>
      <c r="D37" s="1" t="s">
        <v>1109</v>
      </c>
      <c r="E37" s="1">
        <f>INDEX(AH4:AH37,MATCH(E36,AC4:AC37,0),1)</f>
        <v>3</v>
      </c>
      <c r="G37" s="199"/>
      <c r="H37" s="186"/>
      <c r="I37" s="186"/>
      <c r="J37" s="186"/>
      <c r="K37" s="186"/>
      <c r="L37" s="192"/>
      <c r="M37" s="199"/>
      <c r="N37" s="186"/>
      <c r="O37" s="186"/>
      <c r="P37" s="186"/>
      <c r="Q37" s="186"/>
      <c r="R37" s="192"/>
      <c r="AC37" s="156">
        <v>30</v>
      </c>
      <c r="AD37" s="155">
        <v>9</v>
      </c>
      <c r="AE37" s="155">
        <v>19</v>
      </c>
      <c r="AF37" s="155">
        <v>806</v>
      </c>
      <c r="AG37" s="155">
        <v>850</v>
      </c>
      <c r="AH37" s="155">
        <v>14</v>
      </c>
      <c r="AI37" s="155">
        <v>303</v>
      </c>
      <c r="AJ37" s="155">
        <v>320</v>
      </c>
      <c r="AK37" s="155">
        <v>23</v>
      </c>
      <c r="AL37" s="157">
        <v>155000</v>
      </c>
    </row>
    <row r="38" spans="2:38" x14ac:dyDescent="0.25">
      <c r="B38" s="186" t="s">
        <v>1074</v>
      </c>
      <c r="C38" s="186"/>
      <c r="D38" s="186"/>
      <c r="E38" s="1">
        <f>C37-E37</f>
        <v>2</v>
      </c>
      <c r="G38" s="199"/>
      <c r="H38" s="186"/>
      <c r="I38" s="186"/>
      <c r="J38" s="186"/>
      <c r="K38" s="186"/>
      <c r="L38" s="192"/>
      <c r="M38" s="199"/>
      <c r="N38" s="186"/>
      <c r="O38" s="186"/>
      <c r="P38" s="186"/>
      <c r="Q38" s="186"/>
      <c r="R38" s="192"/>
    </row>
    <row r="39" spans="2:38" x14ac:dyDescent="0.25">
      <c r="B39" s="186" t="s">
        <v>1077</v>
      </c>
      <c r="C39" s="186"/>
      <c r="D39" s="186"/>
      <c r="E39" s="1">
        <f>E38/2</f>
        <v>1</v>
      </c>
      <c r="G39" s="199"/>
      <c r="H39" s="186"/>
      <c r="I39" s="186"/>
      <c r="J39" s="186"/>
      <c r="K39" s="186"/>
      <c r="L39" s="192"/>
      <c r="M39" s="199"/>
      <c r="N39" s="186"/>
      <c r="O39" s="186"/>
      <c r="P39" s="186"/>
      <c r="Q39" s="186"/>
      <c r="R39" s="192"/>
    </row>
    <row r="40" spans="2:38" ht="15.75" thickBot="1" x14ac:dyDescent="0.3">
      <c r="B40" s="186" t="s">
        <v>1080</v>
      </c>
      <c r="C40" s="186"/>
      <c r="D40" s="186"/>
      <c r="E40" s="1">
        <f>E36+E39</f>
        <v>2</v>
      </c>
      <c r="G40" s="193"/>
      <c r="H40" s="194"/>
      <c r="I40" s="194"/>
      <c r="J40" s="194"/>
      <c r="K40" s="194"/>
      <c r="L40" s="195"/>
      <c r="M40" s="193"/>
      <c r="N40" s="194"/>
      <c r="O40" s="194"/>
      <c r="P40" s="194"/>
      <c r="Q40" s="194"/>
      <c r="R40" s="195"/>
    </row>
  </sheetData>
  <mergeCells count="126">
    <mergeCell ref="B1:E1"/>
    <mergeCell ref="H1:R2"/>
    <mergeCell ref="AC1:AL1"/>
    <mergeCell ref="AN1:AO1"/>
    <mergeCell ref="AQ1:AS1"/>
    <mergeCell ref="B2:C2"/>
    <mergeCell ref="D2:E2"/>
    <mergeCell ref="S2:V2"/>
    <mergeCell ref="AC2:AC3"/>
    <mergeCell ref="AD2:AD3"/>
    <mergeCell ref="AK2:AK3"/>
    <mergeCell ref="AL2:AL3"/>
    <mergeCell ref="B3:E3"/>
    <mergeCell ref="G3:H3"/>
    <mergeCell ref="I3:J3"/>
    <mergeCell ref="K3:L3"/>
    <mergeCell ref="M3:M4"/>
    <mergeCell ref="N3:N4"/>
    <mergeCell ref="O3:R3"/>
    <mergeCell ref="W3:Z3"/>
    <mergeCell ref="AE2:AE3"/>
    <mergeCell ref="AF2:AF3"/>
    <mergeCell ref="AG2:AG3"/>
    <mergeCell ref="AH2:AH3"/>
    <mergeCell ref="AI2:AI3"/>
    <mergeCell ref="AJ2:AJ3"/>
    <mergeCell ref="N5:N6"/>
    <mergeCell ref="O5:O6"/>
    <mergeCell ref="P5:Q6"/>
    <mergeCell ref="R5:R6"/>
    <mergeCell ref="W5:Y5"/>
    <mergeCell ref="W6:Y6"/>
    <mergeCell ref="G4:H4"/>
    <mergeCell ref="I4:J4"/>
    <mergeCell ref="K4:L4"/>
    <mergeCell ref="O4:R4"/>
    <mergeCell ref="G5:H6"/>
    <mergeCell ref="I5:I6"/>
    <mergeCell ref="J5:J6"/>
    <mergeCell ref="K5:K6"/>
    <mergeCell ref="L5:L6"/>
    <mergeCell ref="M5:M6"/>
    <mergeCell ref="G7:H7"/>
    <mergeCell ref="M7:Q7"/>
    <mergeCell ref="W7:Y7"/>
    <mergeCell ref="G8:H8"/>
    <mergeCell ref="I8:J8"/>
    <mergeCell ref="K8:L8"/>
    <mergeCell ref="M8:N8"/>
    <mergeCell ref="O8:P8"/>
    <mergeCell ref="Q8:R8"/>
    <mergeCell ref="B12:E12"/>
    <mergeCell ref="G12:L12"/>
    <mergeCell ref="M12:R12"/>
    <mergeCell ref="M13:O14"/>
    <mergeCell ref="P13:Q14"/>
    <mergeCell ref="R13:R14"/>
    <mergeCell ref="T9:W9"/>
    <mergeCell ref="G11:H11"/>
    <mergeCell ref="I11:J11"/>
    <mergeCell ref="K11:L11"/>
    <mergeCell ref="M11:N11"/>
    <mergeCell ref="O11:P11"/>
    <mergeCell ref="Q11:R11"/>
    <mergeCell ref="G9:H10"/>
    <mergeCell ref="I9:J10"/>
    <mergeCell ref="K9:L10"/>
    <mergeCell ref="M9:N10"/>
    <mergeCell ref="O9:P10"/>
    <mergeCell ref="Q9:R10"/>
    <mergeCell ref="M15:N15"/>
    <mergeCell ref="P15:Q15"/>
    <mergeCell ref="B16:D16"/>
    <mergeCell ref="G16:L16"/>
    <mergeCell ref="M16:R16"/>
    <mergeCell ref="B17:D17"/>
    <mergeCell ref="G17:I17"/>
    <mergeCell ref="M17:N17"/>
    <mergeCell ref="P17:Q17"/>
    <mergeCell ref="B20:E20"/>
    <mergeCell ref="G20:I20"/>
    <mergeCell ref="M20:N20"/>
    <mergeCell ref="P20:Q20"/>
    <mergeCell ref="G21:I21"/>
    <mergeCell ref="M21:N21"/>
    <mergeCell ref="P21:Q21"/>
    <mergeCell ref="B18:D18"/>
    <mergeCell ref="G18:I18"/>
    <mergeCell ref="M18:N18"/>
    <mergeCell ref="P18:Q18"/>
    <mergeCell ref="G19:I19"/>
    <mergeCell ref="M19:N19"/>
    <mergeCell ref="P19:Q19"/>
    <mergeCell ref="G22:J22"/>
    <mergeCell ref="K22:L22"/>
    <mergeCell ref="M22:N22"/>
    <mergeCell ref="P22:Q22"/>
    <mergeCell ref="G23:H23"/>
    <mergeCell ref="I23:J23"/>
    <mergeCell ref="K23:L23"/>
    <mergeCell ref="M23:N23"/>
    <mergeCell ref="P23:Q23"/>
    <mergeCell ref="M26:R40"/>
    <mergeCell ref="B27:C27"/>
    <mergeCell ref="G27:H27"/>
    <mergeCell ref="G28:H28"/>
    <mergeCell ref="B29:E29"/>
    <mergeCell ref="G29:H29"/>
    <mergeCell ref="G30:I30"/>
    <mergeCell ref="J30:L30"/>
    <mergeCell ref="G24:H24"/>
    <mergeCell ref="I24:J24"/>
    <mergeCell ref="K24:L24"/>
    <mergeCell ref="M24:N24"/>
    <mergeCell ref="P24:Q24"/>
    <mergeCell ref="G25:L25"/>
    <mergeCell ref="M25:R25"/>
    <mergeCell ref="G31:H31"/>
    <mergeCell ref="J31:K31"/>
    <mergeCell ref="G32:L40"/>
    <mergeCell ref="B34:E34"/>
    <mergeCell ref="B38:D38"/>
    <mergeCell ref="B39:D39"/>
    <mergeCell ref="B40:D40"/>
    <mergeCell ref="B26:C26"/>
    <mergeCell ref="G26:H26"/>
  </mergeCells>
  <dataValidations count="18">
    <dataValidation type="list" allowBlank="1" showInputMessage="1" showErrorMessage="1" sqref="J27:J28">
      <formula1>"melee,reach,thrown-20,ranged-30,ranged-60,ranged-90,ranged-120"</formula1>
    </dataValidation>
    <dataValidation type="list" allowBlank="1" showInputMessage="1" showErrorMessage="1" sqref="O4:R4">
      <formula1>$AV$8:$AV$12</formula1>
    </dataValidation>
    <dataValidation type="list" allowBlank="1" showInputMessage="1" showErrorMessage="1" sqref="O3:R3">
      <formula1>$AT$8:$AT$21</formula1>
    </dataValidation>
    <dataValidation type="list" allowBlank="1" showInputMessage="1" showErrorMessage="1" sqref="D2:E2">
      <formula1>$AC$4:$AC$37</formula1>
    </dataValidation>
    <dataValidation type="list" allowBlank="1" showInputMessage="1" showErrorMessage="1" sqref="G3:H3">
      <formula1>"Aberration,Beast,Celestial,Dragon,Elemental,Fey,Fiend,Giant,Humanoid,Monstrosity,Ooze,Plant,Undead"</formula1>
    </dataValidation>
    <dataValidation type="list" allowBlank="1" showInputMessage="1" showErrorMessage="1" sqref="R13 L13:L15 I13:I15">
      <formula1>"prof,non"</formula1>
    </dataValidation>
    <dataValidation type="list" allowBlank="1" showInputMessage="1" showErrorMessage="1" sqref="I3:J3">
      <formula1>"Tiny,Small,Medium,Large,Huge,Gargantuan"</formula1>
    </dataValidation>
    <dataValidation type="list" allowBlank="1" showInputMessage="1" showErrorMessage="1" sqref="K3">
      <formula1>"n/a,CE,NE,LE,CN,N,LN,CG,NG,LG"</formula1>
    </dataValidation>
    <dataValidation type="list" showInputMessage="1" showErrorMessage="1" sqref="J7:L7">
      <formula1>"none,Fly,Burrow,Swim"</formula1>
    </dataValidation>
    <dataValidation type="list" allowBlank="1" showInputMessage="1" showErrorMessage="1" sqref="M15 P15">
      <formula1>"none,darkvision,,blindsight"</formula1>
    </dataValidation>
    <dataValidation type="list" allowBlank="1" showInputMessage="1" showErrorMessage="1" sqref="R15 O15">
      <formula1>"0,30,60,90,120"</formula1>
    </dataValidation>
    <dataValidation type="list" allowBlank="1" showInputMessage="1" showErrorMessage="1" sqref="L17:L21">
      <formula1>"none,prof,expert"</formula1>
    </dataValidation>
    <dataValidation type="list" allowBlank="1" showInputMessage="1" showErrorMessage="1" sqref="J17:J21">
      <formula1>"Str,Dex,Con,Int,Wis,Cha"</formula1>
    </dataValidation>
    <dataValidation type="list" allowBlank="1" showInputMessage="1" showErrorMessage="1" sqref="O17:O24 R17:R24">
      <formula1>"none,resist,immun,vulner"</formula1>
    </dataValidation>
    <dataValidation type="list" allowBlank="1" showInputMessage="1" showErrorMessage="1" sqref="K22:L22 G23:L24">
      <formula1>"common,dwarven,orcish,elvish,infernal,druidic,celestial,abyssal,draconic"</formula1>
    </dataValidation>
    <dataValidation type="list" allowBlank="1" showInputMessage="1" showErrorMessage="1" sqref="G17:I21">
      <formula1>"none,Athletics,Acrobatics,Sleight of Hand,Stealth,Animal Handling,Insight,Medicine,Perception,Survival,Arcana,History,Investigation,Nature,Religion,Deception,Intimidation,Performance,Persuassion"</formula1>
    </dataValidation>
    <dataValidation type="list" allowBlank="1" showInputMessage="1" showErrorMessage="1" sqref="M17:N24 P17:Q24">
      <formula1>"none,Acid,Cold,Fire,Force,Lightning,Necrotic,Poison,Psychic,Radiant,Thunder,Slashing,Piercing,Bludgeoning,Slashing-nm,Piercing-nm,Bludgeoning-nm"</formula1>
    </dataValidation>
    <dataValidation type="list" allowBlank="1" showInputMessage="1" showErrorMessage="1" sqref="J30">
      <formula1>"none,Int,Wis,Cha"</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2:O30"/>
  <sheetViews>
    <sheetView topLeftCell="A12" workbookViewId="0">
      <selection activeCell="I3" sqref="I3:I30"/>
    </sheetView>
  </sheetViews>
  <sheetFormatPr defaultRowHeight="15" x14ac:dyDescent="0.25"/>
  <cols>
    <col min="2" max="2" width="26.85546875" customWidth="1"/>
  </cols>
  <sheetData>
    <row r="2" spans="1:15" x14ac:dyDescent="0.25">
      <c r="A2" s="165" t="s">
        <v>906</v>
      </c>
      <c r="B2" s="165" t="s">
        <v>1114</v>
      </c>
      <c r="C2" s="165" t="s">
        <v>11</v>
      </c>
      <c r="D2" s="165" t="s">
        <v>0</v>
      </c>
      <c r="E2" s="165" t="s">
        <v>1110</v>
      </c>
      <c r="F2" s="165" t="s">
        <v>1111</v>
      </c>
      <c r="G2" s="165" t="s">
        <v>1112</v>
      </c>
      <c r="H2" s="165" t="s">
        <v>1113</v>
      </c>
      <c r="I2" s="165" t="s">
        <v>1181</v>
      </c>
      <c r="J2" s="165" t="s">
        <v>1</v>
      </c>
      <c r="K2" s="165" t="s">
        <v>12</v>
      </c>
      <c r="L2" s="165" t="s">
        <v>13</v>
      </c>
      <c r="O2" t="s">
        <v>10</v>
      </c>
    </row>
    <row r="3" spans="1:15" x14ac:dyDescent="0.25">
      <c r="A3" s="165">
        <v>1</v>
      </c>
      <c r="B3" s="165" t="str">
        <f ca="1">OFFSET(MonsterStats!$B$1,0,13*(1-1))</f>
        <v>Acolyte</v>
      </c>
      <c r="C3" s="165">
        <f ca="1">OFFSET(MonsterStats!$L$5,0,13*(1-1))</f>
        <v>0.25</v>
      </c>
      <c r="D3" s="165">
        <f ca="1">OFFSET(MonsterStats!$J$5,0,13*(1-1))</f>
        <v>9</v>
      </c>
      <c r="E3" s="165">
        <f ca="1">OFFSET(MonsterStats!$A$5,0,13*(1-1))</f>
        <v>0</v>
      </c>
      <c r="F3" s="165">
        <f ca="1">OFFSET(MonsterStats!$G$5,0,0)</f>
        <v>2</v>
      </c>
      <c r="G3" s="165" t="str">
        <f ca="1">OFFSET(MonsterStats!$H$5,0,13*(1-1))</f>
        <v>d8</v>
      </c>
      <c r="H3" s="165">
        <f ca="1">OFFSET(MonsterStats!$I$5,0,0)</f>
        <v>0</v>
      </c>
      <c r="I3" s="165" t="str">
        <f ca="1">F3&amp;G3&amp;"+"&amp;H3</f>
        <v>2d8+0</v>
      </c>
      <c r="J3" s="165"/>
      <c r="K3" s="165"/>
      <c r="L3" s="165" t="s">
        <v>43</v>
      </c>
    </row>
    <row r="4" spans="1:15" x14ac:dyDescent="0.25">
      <c r="A4" s="165">
        <v>2</v>
      </c>
      <c r="B4" s="165" t="str">
        <f ca="1">OFFSET(MonsterStats!$B$1,0,13)</f>
        <v>Bandit</v>
      </c>
      <c r="C4" s="165">
        <f ca="1">OFFSET(MonsterStats!$L$5,0,13)</f>
        <v>0.125</v>
      </c>
      <c r="D4" s="165">
        <f ca="1">OFFSET(MonsterStats!$J$5,0,13)</f>
        <v>11</v>
      </c>
      <c r="E4" s="165">
        <f ca="1">OFFSET(MonsterStats!$A$5,0,13)</f>
        <v>1</v>
      </c>
      <c r="F4" s="165">
        <f ca="1">OFFSET(MonsterStats!$G$5,0,13)</f>
        <v>2</v>
      </c>
      <c r="G4" s="165" t="str">
        <f ca="1">OFFSET(MonsterStats!$H$5,0,13)</f>
        <v>d8</v>
      </c>
      <c r="H4" s="165">
        <f ca="1">OFFSET(MonsterStats!$I$5,0,13)</f>
        <v>2</v>
      </c>
      <c r="I4" s="165" t="str">
        <f t="shared" ref="I4:I30" ca="1" si="0">F4&amp;G4&amp;"+"&amp;H4</f>
        <v>2d8+2</v>
      </c>
      <c r="J4" s="165"/>
      <c r="K4" s="165"/>
      <c r="L4" s="165" t="s">
        <v>43</v>
      </c>
    </row>
    <row r="5" spans="1:15" x14ac:dyDescent="0.25">
      <c r="A5" s="165">
        <v>3</v>
      </c>
      <c r="B5" s="165" t="str">
        <f ca="1">OFFSET(MonsterStats!$B$1,0,26)</f>
        <v>Berserker</v>
      </c>
      <c r="C5" s="165">
        <f ca="1">OFFSET(MonsterStats!$L$5,0,26)</f>
        <v>2</v>
      </c>
      <c r="D5" s="165">
        <f ca="1">OFFSET(MonsterStats!$J$5,0,26)</f>
        <v>67</v>
      </c>
      <c r="E5" s="165">
        <f ca="1">OFFSET(MonsterStats!$A$5,0,26)</f>
        <v>1</v>
      </c>
      <c r="F5" s="165">
        <f ca="1">OFFSET(MonsterStats!$G$5,0,26)</f>
        <v>9</v>
      </c>
      <c r="G5" s="165" t="str">
        <f ca="1">OFFSET(MonsterStats!$H$5,0,26)</f>
        <v>d8</v>
      </c>
      <c r="H5" s="165">
        <f ca="1">OFFSET(MonsterStats!$I$5,0,26)</f>
        <v>27</v>
      </c>
      <c r="I5" s="165" t="str">
        <f t="shared" ca="1" si="0"/>
        <v>9d8+27</v>
      </c>
      <c r="J5" s="165"/>
      <c r="K5" s="165"/>
      <c r="L5" s="165" t="s">
        <v>43</v>
      </c>
    </row>
    <row r="6" spans="1:15" x14ac:dyDescent="0.25">
      <c r="A6" s="165">
        <v>4</v>
      </c>
      <c r="B6" s="165" t="str">
        <f ca="1">OFFSET(MonsterStats!$B$1,41*($A6-1)/3,13*(1-1))</f>
        <v>Cultist</v>
      </c>
      <c r="C6" s="165">
        <f ca="1">OFFSET(MonsterStats!$L$5,41*($A6-1)/3,13*(1-1))</f>
        <v>0.125</v>
      </c>
      <c r="D6" s="165">
        <f ca="1">OFFSET(MonsterStats!$J$5,41*($A6-1)/3,13*(1-1))</f>
        <v>9</v>
      </c>
      <c r="E6" s="165">
        <f ca="1">OFFSET(MonsterStats!$A$5,41*($A6-1)/3,13*(1-1))</f>
        <v>1</v>
      </c>
      <c r="F6" s="165">
        <f ca="1">OFFSET(MonsterStats!$G$5,0,0)</f>
        <v>2</v>
      </c>
      <c r="G6" s="165" t="str">
        <f ca="1">OFFSET(MonsterStats!$H$5,41*($A6-1)/3,13*(1-1))</f>
        <v>d8</v>
      </c>
      <c r="H6" s="165">
        <f ca="1">OFFSET(MonsterStats!$I$5,0,0)</f>
        <v>0</v>
      </c>
      <c r="I6" s="165" t="str">
        <f t="shared" ca="1" si="0"/>
        <v>2d8+0</v>
      </c>
      <c r="J6" s="165"/>
      <c r="K6" s="165"/>
      <c r="L6" s="165" t="s">
        <v>43</v>
      </c>
    </row>
    <row r="7" spans="1:15" x14ac:dyDescent="0.25">
      <c r="A7" s="165">
        <v>5</v>
      </c>
      <c r="B7" s="165" t="str">
        <f ca="1">OFFSET(MonsterStats!$B$1,41*($A7-2)/3,13)</f>
        <v>Guard</v>
      </c>
      <c r="C7" s="165">
        <f ca="1">OFFSET(MonsterStats!$L$5,41*($A7-2)/3,13)</f>
        <v>0.125</v>
      </c>
      <c r="D7" s="165">
        <f ca="1">OFFSET(MonsterStats!$J$5,41*($A7-2)/3,13)</f>
        <v>11</v>
      </c>
      <c r="E7" s="165">
        <f ca="1">OFFSET(MonsterStats!$A$5,41*($A7-2)/3,13)</f>
        <v>1</v>
      </c>
      <c r="F7" s="165">
        <f ca="1">OFFSET(MonsterStats!$G$5,41*($A7-2)/3,13)</f>
        <v>2</v>
      </c>
      <c r="G7" s="165" t="str">
        <f ca="1">OFFSET(MonsterStats!$H$5,41*($A7-2)/3,13)</f>
        <v>d8</v>
      </c>
      <c r="H7" s="165">
        <f ca="1">OFFSET(MonsterStats!$I$5,41*($A7-2)/3,13)</f>
        <v>2</v>
      </c>
      <c r="I7" s="165" t="str">
        <f t="shared" ca="1" si="0"/>
        <v>2d8+2</v>
      </c>
      <c r="J7" s="165"/>
      <c r="K7" s="165"/>
      <c r="L7" s="165" t="s">
        <v>43</v>
      </c>
    </row>
    <row r="8" spans="1:15" x14ac:dyDescent="0.25">
      <c r="A8" s="165">
        <v>6</v>
      </c>
      <c r="B8" s="165" t="str">
        <f ca="1">OFFSET(MonsterStats!$B$1,41*($A8-3)/3,26)</f>
        <v>Knight (of Cult)</v>
      </c>
      <c r="C8" s="165">
        <f ca="1">OFFSET(MonsterStats!$L$5,41*($A8-3)/3,26)</f>
        <v>3</v>
      </c>
      <c r="D8" s="165">
        <f ca="1">OFFSET(MonsterStats!$J$5,41*($A8-3)/3,26)</f>
        <v>52</v>
      </c>
      <c r="E8" s="165">
        <f ca="1">OFFSET(MonsterStats!$A$5,41*($A8-3)/3,26)</f>
        <v>0</v>
      </c>
      <c r="F8" s="165">
        <f ca="1">OFFSET(MonsterStats!$G$5,41*($A8-3)/3,26)</f>
        <v>8</v>
      </c>
      <c r="G8" s="165" t="str">
        <f ca="1">OFFSET(MonsterStats!$H$5,41*($A8-3)/3,26)</f>
        <v>d8</v>
      </c>
      <c r="H8" s="165">
        <f ca="1">OFFSET(MonsterStats!$I$5,41*($A8-3)/3,26)</f>
        <v>16</v>
      </c>
      <c r="I8" s="165" t="str">
        <f t="shared" ca="1" si="0"/>
        <v>8d8+16</v>
      </c>
      <c r="J8" s="165"/>
      <c r="K8" s="165"/>
      <c r="L8" s="165" t="s">
        <v>44</v>
      </c>
    </row>
    <row r="9" spans="1:15" x14ac:dyDescent="0.25">
      <c r="A9" s="165">
        <v>7</v>
      </c>
      <c r="B9" s="165" t="str">
        <f ca="1">OFFSET(MonsterStats!$B$1,41*($A9-1)/3,13*(1-1))</f>
        <v>Kobold</v>
      </c>
      <c r="C9" s="165">
        <f ca="1">OFFSET(MonsterStats!$L$5,41*($A9-1)/3,13*(1-1))</f>
        <v>0.125</v>
      </c>
      <c r="D9" s="165">
        <f ca="1">OFFSET(MonsterStats!$J$5,41*($A9-1)/3,13*(1-1))</f>
        <v>5</v>
      </c>
      <c r="E9" s="165">
        <f ca="1">OFFSET(MonsterStats!$A$5,41*($A9-1)/3,13*(1-1))</f>
        <v>2</v>
      </c>
      <c r="F9" s="165">
        <f ca="1">OFFSET(MonsterStats!$G$5,0,0)</f>
        <v>2</v>
      </c>
      <c r="G9" s="165" t="str">
        <f ca="1">OFFSET(MonsterStats!$H$5,41*($A9-1)/3,13*(1-1))</f>
        <v>d6</v>
      </c>
      <c r="H9" s="165">
        <f ca="1">OFFSET(MonsterStats!$I$5,0,0)</f>
        <v>0</v>
      </c>
      <c r="I9" s="165" t="str">
        <f t="shared" ca="1" si="0"/>
        <v>2d6+0</v>
      </c>
      <c r="J9" s="165"/>
      <c r="K9" s="165"/>
      <c r="L9" s="165" t="s">
        <v>43</v>
      </c>
    </row>
    <row r="10" spans="1:15" x14ac:dyDescent="0.25">
      <c r="A10" s="165">
        <v>8</v>
      </c>
      <c r="B10" s="165" t="str">
        <f ca="1">OFFSET(MonsterStats!$B$1,41*($A10-2)/3,13)</f>
        <v>Priest (of Tiamat)</v>
      </c>
      <c r="C10" s="165">
        <f ca="1">OFFSET(MonsterStats!$L$5,41*($A10-2)/3,13)</f>
        <v>2</v>
      </c>
      <c r="D10" s="165">
        <f ca="1">OFFSET(MonsterStats!$J$5,41*($A10-2)/3,13)</f>
        <v>27</v>
      </c>
      <c r="E10" s="165">
        <f ca="1">OFFSET(MonsterStats!$A$5,41*($A10-2)/3,13)</f>
        <v>0</v>
      </c>
      <c r="F10" s="165">
        <f ca="1">OFFSET(MonsterStats!$G$5,41*($A10-2)/3,13)</f>
        <v>5</v>
      </c>
      <c r="G10" s="165" t="str">
        <f ca="1">OFFSET(MonsterStats!$H$5,41*($A10-2)/3,13)</f>
        <v>d8</v>
      </c>
      <c r="H10" s="165">
        <f ca="1">OFFSET(MonsterStats!$I$5,41*($A10-2)/3,13)</f>
        <v>5</v>
      </c>
      <c r="I10" s="165" t="str">
        <f t="shared" ca="1" si="0"/>
        <v>5d8+5</v>
      </c>
      <c r="J10" s="165"/>
      <c r="K10" s="165"/>
      <c r="L10" s="165" t="s">
        <v>43</v>
      </c>
    </row>
    <row r="11" spans="1:15" x14ac:dyDescent="0.25">
      <c r="A11" s="165">
        <v>9</v>
      </c>
      <c r="B11" s="165" t="str">
        <f ca="1">OFFSET(MonsterStats!$B$1,41*($A11-3)/3,26)</f>
        <v>Scout</v>
      </c>
      <c r="C11" s="165">
        <f ca="1">OFFSET(MonsterStats!$L$5,41*($A11-3)/3,26)</f>
        <v>0.5</v>
      </c>
      <c r="D11" s="165">
        <f ca="1">OFFSET(MonsterStats!$J$5,41*($A11-3)/3,26)</f>
        <v>19</v>
      </c>
      <c r="E11" s="165">
        <f ca="1">OFFSET(MonsterStats!$A$5,41*($A11-3)/3,26)</f>
        <v>3</v>
      </c>
      <c r="F11" s="165">
        <f ca="1">OFFSET(MonsterStats!$G$5,41*($A11-3)/3,26)</f>
        <v>3</v>
      </c>
      <c r="G11" s="165" t="str">
        <f ca="1">OFFSET(MonsterStats!$H$5,41*($A11-3)/3,26)</f>
        <v>d8</v>
      </c>
      <c r="H11" s="165">
        <f ca="1">OFFSET(MonsterStats!$I$5,41*($A11-3)/3,26)</f>
        <v>6</v>
      </c>
      <c r="I11" s="165" t="str">
        <f t="shared" ca="1" si="0"/>
        <v>3d8+6</v>
      </c>
      <c r="J11" s="165"/>
      <c r="K11" s="165"/>
      <c r="L11" s="165" t="s">
        <v>43</v>
      </c>
    </row>
    <row r="12" spans="1:15" x14ac:dyDescent="0.25">
      <c r="A12" s="165">
        <v>10</v>
      </c>
      <c r="B12" s="165" t="str">
        <f ca="1">OFFSET(MonsterStats!$B$1,41*($A12-1)/3,13*(1-1))</f>
        <v>Mercenary Veteran</v>
      </c>
      <c r="C12" s="165">
        <f ca="1">OFFSET(MonsterStats!$L$5,41*($A12-1)/3,13*(1-1))</f>
        <v>3</v>
      </c>
      <c r="D12" s="165">
        <f ca="1">OFFSET(MonsterStats!$J$5,41*($A12-1)/3,13*(1-1))</f>
        <v>58</v>
      </c>
      <c r="E12" s="165">
        <f ca="1">OFFSET(MonsterStats!$A$5,41*($A12-1)/3,13*(1-1))</f>
        <v>1</v>
      </c>
      <c r="F12" s="165">
        <f ca="1">OFFSET(MonsterStats!$G$5,0,0)</f>
        <v>2</v>
      </c>
      <c r="G12" s="165" t="str">
        <f ca="1">OFFSET(MonsterStats!$H$5,41*($A12-1)/3,13*(1-1))</f>
        <v>d8</v>
      </c>
      <c r="H12" s="165">
        <f ca="1">OFFSET(MonsterStats!$I$5,0,0)</f>
        <v>0</v>
      </c>
      <c r="I12" s="165" t="str">
        <f t="shared" ca="1" si="0"/>
        <v>2d8+0</v>
      </c>
      <c r="J12" s="165"/>
      <c r="K12" s="165"/>
      <c r="L12" s="165" t="s">
        <v>44</v>
      </c>
    </row>
    <row r="13" spans="1:15" x14ac:dyDescent="0.25">
      <c r="A13" s="165">
        <v>11</v>
      </c>
      <c r="B13" s="165" t="str">
        <f ca="1">OFFSET(MonsterStats!$B$1,41*($A13-2)/3,13)</f>
        <v>DragonClaw</v>
      </c>
      <c r="C13" s="165">
        <f ca="1">OFFSET(MonsterStats!$L$5,41*($A13-2)/3,13)</f>
        <v>1</v>
      </c>
      <c r="D13" s="165">
        <f ca="1">OFFSET(MonsterStats!$J$5,41*($A13-2)/3,13)</f>
        <v>16</v>
      </c>
      <c r="E13" s="165">
        <f ca="1">OFFSET(MonsterStats!$A$5,41*($A13-2)/3,13)</f>
        <v>3</v>
      </c>
      <c r="F13" s="165">
        <f ca="1">OFFSET(MonsterStats!$G$5,41*($A13-2)/3,13)</f>
        <v>3</v>
      </c>
      <c r="G13" s="165" t="str">
        <f ca="1">OFFSET(MonsterStats!$H$5,41*($A13-2)/3,13)</f>
        <v>d8</v>
      </c>
      <c r="H13" s="165">
        <f ca="1">OFFSET(MonsterStats!$I$5,41*($A13-2)/3,13)</f>
        <v>3</v>
      </c>
      <c r="I13" s="165" t="str">
        <f t="shared" ca="1" si="0"/>
        <v>3d8+3</v>
      </c>
      <c r="J13" s="165"/>
      <c r="K13" s="165"/>
      <c r="L13" s="165" t="s">
        <v>43</v>
      </c>
    </row>
    <row r="14" spans="1:15" x14ac:dyDescent="0.25">
      <c r="A14" s="165">
        <v>12</v>
      </c>
      <c r="B14" s="165" t="str">
        <f ca="1">OFFSET(MonsterStats!$B$1,41*($A14-3)/3,26)</f>
        <v>DragonWing</v>
      </c>
      <c r="C14" s="165">
        <f ca="1">OFFSET(MonsterStats!$L$5,41*($A14-3)/3,26)</f>
        <v>2</v>
      </c>
      <c r="D14" s="165">
        <f ca="1">OFFSET(MonsterStats!$J$5,41*($A14-3)/3,26)</f>
        <v>39</v>
      </c>
      <c r="E14" s="165">
        <f ca="1">OFFSET(MonsterStats!$A$5,41*($A14-3)/3,26)</f>
        <v>4</v>
      </c>
      <c r="F14" s="165">
        <f ca="1">OFFSET(MonsterStats!$G$5,41*($A14-3)/3,26)</f>
        <v>6</v>
      </c>
      <c r="G14" s="165" t="str">
        <f ca="1">OFFSET(MonsterStats!$H$5,41*($A14-3)/3,26)</f>
        <v>d8</v>
      </c>
      <c r="H14" s="165">
        <f ca="1">OFFSET(MonsterStats!$I$5,41*($A14-3)/3,26)</f>
        <v>12</v>
      </c>
      <c r="I14" s="165" t="str">
        <f t="shared" ca="1" si="0"/>
        <v>6d8+12</v>
      </c>
      <c r="J14" s="165"/>
      <c r="K14" s="165"/>
      <c r="L14" s="165" t="s">
        <v>43</v>
      </c>
    </row>
    <row r="15" spans="1:15" x14ac:dyDescent="0.25">
      <c r="A15" s="165">
        <v>13</v>
      </c>
      <c r="B15" s="165" t="str">
        <f ca="1">OFFSET(MonsterStats!$B$1,41*($A15-1)/3,13*(1-1))</f>
        <v xml:space="preserve">Mercenary Raider </v>
      </c>
      <c r="C15" s="165">
        <f ca="1">OFFSET(MonsterStats!$L$5,41*($A15-1)/3,13*(1-1))</f>
        <v>3</v>
      </c>
      <c r="D15" s="165">
        <f ca="1">OFFSET(MonsterStats!$J$5,41*($A15-1)/3,13*(1-1))</f>
        <v>51</v>
      </c>
      <c r="E15" s="165">
        <f ca="1">OFFSET(MonsterStats!$A$5,41*($A15-1)/3,13*(1-1))</f>
        <v>3</v>
      </c>
      <c r="F15" s="165">
        <f ca="1">OFFSET(MonsterStats!$G$5,0,0)</f>
        <v>2</v>
      </c>
      <c r="G15" s="165" t="str">
        <f ca="1">OFFSET(MonsterStats!$H$5,41*($A15-1)/3,13*(1-1))</f>
        <v>d8</v>
      </c>
      <c r="H15" s="165">
        <f ca="1">OFFSET(MonsterStats!$I$5,0,0)</f>
        <v>0</v>
      </c>
      <c r="I15" s="165" t="str">
        <f t="shared" ca="1" si="0"/>
        <v>2d8+0</v>
      </c>
      <c r="J15" s="165"/>
      <c r="K15" s="165"/>
      <c r="L15" s="165" t="s">
        <v>44</v>
      </c>
    </row>
    <row r="16" spans="1:15" x14ac:dyDescent="0.25">
      <c r="A16" s="165">
        <v>14</v>
      </c>
      <c r="B16" s="165" t="str">
        <f ca="1">OFFSET(MonsterStats!$B$1,41*($A16-2)/3,13)</f>
        <v>Guard Drake</v>
      </c>
      <c r="C16" s="165">
        <f ca="1">OFFSET(MonsterStats!$L$5,41*($A16-2)/3,13)</f>
        <v>2</v>
      </c>
      <c r="D16" s="165">
        <f ca="1">OFFSET(MonsterStats!$J$5,41*($A16-2)/3,13)</f>
        <v>52</v>
      </c>
      <c r="E16" s="165">
        <f ca="1">OFFSET(MonsterStats!$A$5,41*($A16-2)/3,13)</f>
        <v>0</v>
      </c>
      <c r="F16" s="165">
        <f ca="1">OFFSET(MonsterStats!$G$5,41*($A16-2)/3,13)</f>
        <v>7</v>
      </c>
      <c r="G16" s="165" t="str">
        <f ca="1">OFFSET(MonsterStats!$H$5,41*($A16-2)/3,13)</f>
        <v>d8</v>
      </c>
      <c r="H16" s="165">
        <f ca="1">OFFSET(MonsterStats!$I$5,41*($A16-2)/3,13)</f>
        <v>21</v>
      </c>
      <c r="I16" s="165" t="str">
        <f t="shared" ca="1" si="0"/>
        <v>7d8+21</v>
      </c>
      <c r="J16" s="165"/>
      <c r="K16" s="165"/>
      <c r="L16" s="165" t="s">
        <v>43</v>
      </c>
    </row>
    <row r="17" spans="1:12" x14ac:dyDescent="0.25">
      <c r="A17" s="165">
        <v>15</v>
      </c>
      <c r="B17" s="165" t="str">
        <f ca="1">OFFSET(MonsterStats!$B$1,41*($A17-3)/3,26)</f>
        <v>Ambush Drake</v>
      </c>
      <c r="C17" s="165">
        <f ca="1">OFFSET(MonsterStats!$L$5,41*($A17-3)/3,26)</f>
        <v>0.5</v>
      </c>
      <c r="D17" s="165">
        <f ca="1">OFFSET(MonsterStats!$J$5,41*($A17-3)/3,26)</f>
        <v>26</v>
      </c>
      <c r="E17" s="165">
        <f ca="1">OFFSET(MonsterStats!$A$5,41*($A17-3)/3,26)</f>
        <v>2</v>
      </c>
      <c r="F17" s="165">
        <f ca="1">OFFSET(MonsterStats!$G$5,41*($A17-3)/3,26)</f>
        <v>4</v>
      </c>
      <c r="G17" s="165" t="str">
        <f ca="1">OFFSET(MonsterStats!$H$5,41*($A17-3)/3,26)</f>
        <v>d8</v>
      </c>
      <c r="H17" s="165">
        <f ca="1">OFFSET(MonsterStats!$I$5,41*($A17-3)/3,26)</f>
        <v>8</v>
      </c>
      <c r="I17" s="165" t="str">
        <f t="shared" ca="1" si="0"/>
        <v>4d8+8</v>
      </c>
      <c r="J17" s="165"/>
      <c r="K17" s="165"/>
      <c r="L17" s="165" t="s">
        <v>43</v>
      </c>
    </row>
    <row r="18" spans="1:12" x14ac:dyDescent="0.25">
      <c r="A18" s="165">
        <v>16</v>
      </c>
      <c r="B18" s="165" t="str">
        <f ca="1">OFFSET(MonsterStats!$B$1,41*($A18-1)/3,13*(1-1))</f>
        <v>Assasin</v>
      </c>
      <c r="C18" s="165">
        <f ca="1">OFFSET(MonsterStats!$L$5,41*($A18-1)/3,13*(1-1))</f>
        <v>8</v>
      </c>
      <c r="D18" s="165">
        <f ca="1">OFFSET(MonsterStats!$J$5,41*($A18-1)/3,13*(1-1))</f>
        <v>90</v>
      </c>
      <c r="E18" s="165">
        <f ca="1">OFFSET(MonsterStats!$A$5,41*($A18-1)/3,13*(1-1))</f>
        <v>4</v>
      </c>
      <c r="F18" s="165">
        <f ca="1">OFFSET(MonsterStats!$G$5,0,0)</f>
        <v>2</v>
      </c>
      <c r="G18" s="165" t="str">
        <f ca="1">OFFSET(MonsterStats!$H$5,41*($A18-1)/3,13*(1-1))</f>
        <v>d8</v>
      </c>
      <c r="H18" s="165">
        <f ca="1">OFFSET(MonsterStats!$I$5,0,0)</f>
        <v>0</v>
      </c>
      <c r="I18" s="165" t="str">
        <f t="shared" ca="1" si="0"/>
        <v>2d8+0</v>
      </c>
      <c r="J18" s="165"/>
      <c r="K18" s="165"/>
      <c r="L18" s="165" t="s">
        <v>43</v>
      </c>
    </row>
    <row r="19" spans="1:12" x14ac:dyDescent="0.25">
      <c r="A19" s="165">
        <v>17</v>
      </c>
      <c r="B19" s="165" t="str">
        <f ca="1">OFFSET(MonsterStats!$B$1,41*($A19-2)/3,13)</f>
        <v>Gladiator</v>
      </c>
      <c r="C19" s="165">
        <f ca="1">OFFSET(MonsterStats!$L$5,41*($A19-2)/3,13)</f>
        <v>5</v>
      </c>
      <c r="D19" s="165">
        <f ca="1">OFFSET(MonsterStats!$J$5,41*($A19-2)/3,13)</f>
        <v>112</v>
      </c>
      <c r="E19" s="165">
        <f ca="1">OFFSET(MonsterStats!$A$5,41*($A19-2)/3,13)</f>
        <v>3</v>
      </c>
      <c r="F19" s="165">
        <f ca="1">OFFSET(MonsterStats!$G$5,41*($A19-2)/3,13)</f>
        <v>15</v>
      </c>
      <c r="G19" s="165" t="str">
        <f ca="1">OFFSET(MonsterStats!$H$5,41*($A19-2)/3,13)</f>
        <v>d8</v>
      </c>
      <c r="H19" s="165">
        <f ca="1">OFFSET(MonsterStats!$I$5,41*($A19-2)/3,13)</f>
        <v>45</v>
      </c>
      <c r="I19" s="165" t="str">
        <f t="shared" ca="1" si="0"/>
        <v>15d8+45</v>
      </c>
      <c r="J19" s="165"/>
      <c r="K19" s="165"/>
      <c r="L19" s="165" t="s">
        <v>43</v>
      </c>
    </row>
    <row r="20" spans="1:12" x14ac:dyDescent="0.25">
      <c r="A20" s="165">
        <v>18</v>
      </c>
      <c r="B20" s="165" t="str">
        <f ca="1">OFFSET(MonsterStats!$B$1,41*($A20-3)/3,26)</f>
        <v>Dragon Fang</v>
      </c>
      <c r="C20" s="165">
        <f ca="1">OFFSET(MonsterStats!$L$5,41*($A20-3)/3,26)</f>
        <v>5</v>
      </c>
      <c r="D20" s="165">
        <f ca="1">OFFSET(MonsterStats!$J$5,41*($A20-3)/3,26)</f>
        <v>78</v>
      </c>
      <c r="E20" s="165">
        <f ca="1">OFFSET(MonsterStats!$A$5,41*($A20-3)/3,26)</f>
        <v>3</v>
      </c>
      <c r="F20" s="165">
        <f ca="1">OFFSET(MonsterStats!$G$5,41*($A20-3)/3,26)</f>
        <v>12</v>
      </c>
      <c r="G20" s="165" t="str">
        <f ca="1">OFFSET(MonsterStats!$H$5,41*($A20-3)/3,26)</f>
        <v>d8</v>
      </c>
      <c r="H20" s="165">
        <f ca="1">OFFSET(MonsterStats!$I$5,41*($A20-3)/3,26)</f>
        <v>24</v>
      </c>
      <c r="I20" s="165" t="str">
        <f t="shared" ca="1" si="0"/>
        <v>12d8+24</v>
      </c>
      <c r="J20" s="165"/>
      <c r="K20" s="165"/>
      <c r="L20" s="165" t="s">
        <v>43</v>
      </c>
    </row>
    <row r="21" spans="1:12" x14ac:dyDescent="0.25">
      <c r="A21" s="165">
        <v>19</v>
      </c>
      <c r="B21" s="165" t="str">
        <f ca="1">OFFSET(MonsterStats!$B$1,41*($A21-1)/3,13*(1-1))</f>
        <v>Bandit Captain</v>
      </c>
      <c r="C21" s="165">
        <f ca="1">OFFSET(MonsterStats!$L$5,41*($A21-1)/3,13*(1-1))</f>
        <v>2</v>
      </c>
      <c r="D21" s="165">
        <f ca="1">OFFSET(MonsterStats!$J$5,41*($A21-1)/3,13*(1-1))</f>
        <v>65</v>
      </c>
      <c r="E21" s="165">
        <f ca="1">OFFSET(MonsterStats!$A$5,41*($A21-1)/3,13*(1-1))</f>
        <v>3</v>
      </c>
      <c r="F21" s="165">
        <f ca="1">OFFSET(MonsterStats!$G$5,0,0)</f>
        <v>2</v>
      </c>
      <c r="G21" s="165" t="str">
        <f ca="1">OFFSET(MonsterStats!$H$5,41*($A21-1)/3,13*(1-1))</f>
        <v>d8</v>
      </c>
      <c r="H21" s="165">
        <f ca="1">OFFSET(MonsterStats!$I$5,0,0)</f>
        <v>0</v>
      </c>
      <c r="I21" s="165" t="str">
        <f t="shared" ca="1" si="0"/>
        <v>2d8+0</v>
      </c>
      <c r="J21" s="165"/>
      <c r="K21" s="165"/>
      <c r="L21" s="165" t="s">
        <v>43</v>
      </c>
    </row>
    <row r="22" spans="1:12" x14ac:dyDescent="0.25">
      <c r="A22" s="165">
        <v>20</v>
      </c>
      <c r="B22" s="165" t="str">
        <f ca="1">OFFSET(MonsterStats!$B$1,41*($A22-2)/3,13)</f>
        <v>Drow Warrior</v>
      </c>
      <c r="C22" s="165">
        <f ca="1">OFFSET(MonsterStats!$L$5,41*($A22-2)/3,13)</f>
        <v>2</v>
      </c>
      <c r="D22" s="165">
        <f ca="1">OFFSET(MonsterStats!$J$5,41*($A22-2)/3,13)</f>
        <v>44</v>
      </c>
      <c r="E22" s="165">
        <f ca="1">OFFSET(MonsterStats!$A$5,41*($A22-2)/3,13)</f>
        <v>3</v>
      </c>
      <c r="F22" s="165">
        <f ca="1">OFFSET(MonsterStats!$G$5,41*($A22-2)/3,13)</f>
        <v>8</v>
      </c>
      <c r="G22" s="165" t="str">
        <f ca="1">OFFSET(MonsterStats!$H$5,41*($A22-2)/3,13)</f>
        <v>d8</v>
      </c>
      <c r="H22" s="165">
        <f ca="1">OFFSET(MonsterStats!$I$5,41*($A22-2)/3,13)</f>
        <v>8</v>
      </c>
      <c r="I22" s="165" t="str">
        <f t="shared" ca="1" si="0"/>
        <v>8d8+8</v>
      </c>
      <c r="J22" s="165"/>
      <c r="K22" s="165"/>
      <c r="L22" s="165" t="s">
        <v>44</v>
      </c>
    </row>
    <row r="23" spans="1:12" x14ac:dyDescent="0.25">
      <c r="A23" s="165">
        <v>21</v>
      </c>
      <c r="B23" s="165" t="str">
        <f ca="1">OFFSET(MonsterStats!$B$1,41*($A23-3)/3,26)</f>
        <v>Cult Prison Guard (half-dragon)</v>
      </c>
      <c r="C23" s="165">
        <f ca="1">OFFSET(MonsterStats!$L$5,41*($A23-3)/3,26)</f>
        <v>4</v>
      </c>
      <c r="D23" s="165">
        <f ca="1">OFFSET(MonsterStats!$J$5,41*($A23-3)/3,26)</f>
        <v>45</v>
      </c>
      <c r="E23" s="165">
        <f ca="1">OFFSET(MonsterStats!$A$5,41*($A23-3)/3,26)</f>
        <v>1</v>
      </c>
      <c r="F23" s="165">
        <f ca="1">OFFSET(MonsterStats!$G$5,41*($A23-3)/3,26)</f>
        <v>6</v>
      </c>
      <c r="G23" s="165" t="str">
        <f ca="1">OFFSET(MonsterStats!$H$5,41*($A23-3)/3,26)</f>
        <v>d8</v>
      </c>
      <c r="H23" s="165">
        <f ca="1">OFFSET(MonsterStats!$I$5,41*($A23-3)/3,26)</f>
        <v>18</v>
      </c>
      <c r="I23" s="165" t="str">
        <f t="shared" ca="1" si="0"/>
        <v>6d8+18</v>
      </c>
      <c r="J23" s="165"/>
      <c r="K23" s="165"/>
      <c r="L23" s="165" t="s">
        <v>43</v>
      </c>
    </row>
    <row r="24" spans="1:12" x14ac:dyDescent="0.25">
      <c r="A24" s="165">
        <v>22</v>
      </c>
      <c r="B24" s="165" t="str">
        <f ca="1">OFFSET(MonsterStats!$B$1,41*($A24-1)/3,13*(1-1))</f>
        <v>Hobgoblin Captain</v>
      </c>
      <c r="C24" s="165">
        <f ca="1">OFFSET(MonsterStats!$L$5,41*($A24-1)/3,13*(1-1))</f>
        <v>4</v>
      </c>
      <c r="D24" s="165">
        <f ca="1">OFFSET(MonsterStats!$J$5,41*($A24-1)/3,13*(1-1))</f>
        <v>39</v>
      </c>
      <c r="E24" s="165">
        <f ca="1">OFFSET(MonsterStats!$A$5,41*($A24-1)/3,13*(1-1))</f>
        <v>2</v>
      </c>
      <c r="F24" s="165">
        <f ca="1">OFFSET(MonsterStats!$G$5,0,0)</f>
        <v>2</v>
      </c>
      <c r="G24" s="165" t="str">
        <f ca="1">OFFSET(MonsterStats!$H$5,41*($A24-1)/3,13*(1-1))</f>
        <v>d8</v>
      </c>
      <c r="H24" s="165">
        <f ca="1">OFFSET(MonsterStats!$I$5,0,0)</f>
        <v>0</v>
      </c>
      <c r="I24" s="165" t="str">
        <f t="shared" ca="1" si="0"/>
        <v>2d8+0</v>
      </c>
      <c r="J24" s="165"/>
      <c r="K24" s="165"/>
      <c r="L24" s="165" t="s">
        <v>43</v>
      </c>
    </row>
    <row r="25" spans="1:12" x14ac:dyDescent="0.25">
      <c r="A25" s="165">
        <v>23</v>
      </c>
      <c r="B25" s="165" t="str">
        <f ca="1">OFFSET(MonsterStats!$B$1,41*($A25-2)/3,13)</f>
        <v>Half-Red Dragon Veteran</v>
      </c>
      <c r="C25" s="165">
        <f ca="1">OFFSET(MonsterStats!$L$5,41*($A25-2)/3,13)</f>
        <v>5</v>
      </c>
      <c r="D25" s="165">
        <f ca="1">OFFSET(MonsterStats!$J$5,41*($A25-2)/3,13)</f>
        <v>58</v>
      </c>
      <c r="E25" s="165">
        <f ca="1">OFFSET(MonsterStats!$A$5,41*($A25-2)/3,13)</f>
        <v>1</v>
      </c>
      <c r="F25" s="165">
        <f ca="1">OFFSET(MonsterStats!$G$5,41*($A25-2)/3,13)</f>
        <v>9</v>
      </c>
      <c r="G25" s="165" t="str">
        <f ca="1">OFFSET(MonsterStats!$H$5,41*($A25-2)/3,13)</f>
        <v>d8</v>
      </c>
      <c r="H25" s="165">
        <f ca="1">OFFSET(MonsterStats!$I$5,41*($A25-2)/3,13)</f>
        <v>18</v>
      </c>
      <c r="I25" s="165" t="str">
        <f t="shared" ca="1" si="0"/>
        <v>9d8+18</v>
      </c>
      <c r="J25" s="165"/>
      <c r="K25" s="165"/>
      <c r="L25" s="165" t="s">
        <v>43</v>
      </c>
    </row>
    <row r="26" spans="1:12" x14ac:dyDescent="0.25">
      <c r="A26" s="165">
        <v>24</v>
      </c>
      <c r="B26" s="165" t="str">
        <f ca="1">OFFSET(MonsterStats!$B$1,41*($A26-3)/3,26)</f>
        <v>Hobgoblin</v>
      </c>
      <c r="C26" s="165">
        <f ca="1">OFFSET(MonsterStats!$L$5,41*($A26-3)/3,26)</f>
        <v>0.5</v>
      </c>
      <c r="D26" s="165">
        <f ca="1">OFFSET(MonsterStats!$J$5,41*($A26-3)/3,26)</f>
        <v>11</v>
      </c>
      <c r="E26" s="165">
        <f ca="1">OFFSET(MonsterStats!$A$5,41*($A26-3)/3,26)</f>
        <v>1</v>
      </c>
      <c r="F26" s="165">
        <f ca="1">OFFSET(MonsterStats!$G$5,41*($A26-3)/3,26)</f>
        <v>2</v>
      </c>
      <c r="G26" s="165" t="str">
        <f ca="1">OFFSET(MonsterStats!$H$5,41*($A26-3)/3,26)</f>
        <v>d8</v>
      </c>
      <c r="H26" s="165">
        <f ca="1">OFFSET(MonsterStats!$I$5,41*($A26-3)/3,26)</f>
        <v>2</v>
      </c>
      <c r="I26" s="165" t="str">
        <f t="shared" ca="1" si="0"/>
        <v>2d8+2</v>
      </c>
      <c r="J26" s="165"/>
      <c r="K26" s="165"/>
      <c r="L26" s="165" t="s">
        <v>43</v>
      </c>
    </row>
    <row r="27" spans="1:12" x14ac:dyDescent="0.25">
      <c r="A27" s="165">
        <v>25</v>
      </c>
      <c r="B27" s="165" t="str">
        <f ca="1">OFFSET(MonsterStats!$B$1,41*($A27-1)/3,13*(1-1))</f>
        <v>Cult Enforcer</v>
      </c>
      <c r="C27" s="165">
        <f ca="1">OFFSET(MonsterStats!$L$5,41*($A27-1)/3,13*(1-1))</f>
        <v>3</v>
      </c>
      <c r="D27" s="165">
        <f ca="1">OFFSET(MonsterStats!$J$5,41*($A27-1)/3,13*(1-1))</f>
        <v>58</v>
      </c>
      <c r="E27" s="165">
        <f ca="1">OFFSET(MonsterStats!$A$5,41*($A27-1)/3,13*(1-1))</f>
        <v>2</v>
      </c>
      <c r="F27" s="165">
        <f ca="1">OFFSET(MonsterStats!$G$5,0,0)</f>
        <v>2</v>
      </c>
      <c r="G27" s="165" t="str">
        <f ca="1">OFFSET(MonsterStats!$H$5,41*($A27-1)/3,13*(1-1))</f>
        <v>d8</v>
      </c>
      <c r="H27" s="165">
        <f ca="1">OFFSET(MonsterStats!$I$5,0,0)</f>
        <v>0</v>
      </c>
      <c r="I27" s="165" t="str">
        <f t="shared" ca="1" si="0"/>
        <v>2d8+0</v>
      </c>
      <c r="J27" s="165"/>
      <c r="K27" s="165"/>
      <c r="L27" s="165" t="s">
        <v>43</v>
      </c>
    </row>
    <row r="28" spans="1:12" x14ac:dyDescent="0.25">
      <c r="A28" s="165">
        <v>26</v>
      </c>
      <c r="B28" s="165" t="str">
        <f ca="1">OFFSET(MonsterStats!$B$1,41*($A28-2)/3,13)</f>
        <v>Rezmir</v>
      </c>
      <c r="C28" s="165">
        <f ca="1">OFFSET(MonsterStats!$L$5,41*($A28-2)/3,13)</f>
        <v>9</v>
      </c>
      <c r="D28" s="165">
        <f ca="1">OFFSET(MonsterStats!$J$5,41*($A28-2)/3,13)</f>
        <v>90</v>
      </c>
      <c r="E28" s="165">
        <f ca="1">OFFSET(MonsterStats!$A$5,41*($A28-2)/3,13)</f>
        <v>3</v>
      </c>
      <c r="F28" s="165">
        <f ca="1">OFFSET(MonsterStats!$G$5,41*($A28-2)/3,13)</f>
        <v>12</v>
      </c>
      <c r="G28" s="165" t="str">
        <f ca="1">OFFSET(MonsterStats!$H$5,41*($A28-2)/3,13)</f>
        <v>d8</v>
      </c>
      <c r="H28" s="165">
        <f ca="1">OFFSET(MonsterStats!$I$5,41*($A28-2)/3,13)</f>
        <v>36</v>
      </c>
      <c r="I28" s="165" t="str">
        <f t="shared" ca="1" si="0"/>
        <v>12d8+36</v>
      </c>
      <c r="J28" s="165"/>
      <c r="K28" s="165"/>
      <c r="L28" s="165" t="s">
        <v>43</v>
      </c>
    </row>
    <row r="29" spans="1:12" x14ac:dyDescent="0.25">
      <c r="A29" s="165">
        <v>27</v>
      </c>
      <c r="B29" s="165">
        <f ca="1">OFFSET(MonsterStats!$B$1,41*($A29-3)/3,26)</f>
        <v>0</v>
      </c>
      <c r="C29" s="165">
        <f ca="1">OFFSET(MonsterStats!$L$5,41*($A29-3)/3,26)</f>
        <v>0</v>
      </c>
      <c r="D29" s="165">
        <f ca="1">OFFSET(MonsterStats!$J$5,41*($A29-3)/3,26)</f>
        <v>0</v>
      </c>
      <c r="E29" s="165">
        <f ca="1">OFFSET(MonsterStats!$A$5,41*($A29-3)/3,26)</f>
        <v>0</v>
      </c>
      <c r="F29" s="165">
        <f ca="1">OFFSET(MonsterStats!$G$5,41*($A29-3)/3,26)</f>
        <v>0</v>
      </c>
      <c r="G29" s="165">
        <f ca="1">OFFSET(MonsterStats!$H$5,41*($A29-3)/3,26)</f>
        <v>0</v>
      </c>
      <c r="H29" s="165">
        <f ca="1">OFFSET(MonsterStats!$I$5,41*($A29-3)/3,26)</f>
        <v>0</v>
      </c>
      <c r="I29" s="165" t="str">
        <f t="shared" ca="1" si="0"/>
        <v>00+0</v>
      </c>
      <c r="J29" s="165"/>
      <c r="K29" s="165"/>
      <c r="L29" s="165" t="s">
        <v>43</v>
      </c>
    </row>
    <row r="30" spans="1:12" x14ac:dyDescent="0.25">
      <c r="A30" s="165">
        <v>28</v>
      </c>
      <c r="B30" s="165">
        <f ca="1">OFFSET(MonsterStats!$B$1,41*($A30-3)/3,26)</f>
        <v>0</v>
      </c>
      <c r="C30" s="165">
        <f ca="1">OFFSET(MonsterStats!$L$5,41*($A30-3)/3,26)</f>
        <v>0</v>
      </c>
      <c r="D30" s="165">
        <f ca="1">OFFSET(MonsterStats!$J$5,41*($A30-3)/3,26)</f>
        <v>0</v>
      </c>
      <c r="E30" s="165">
        <f ca="1">OFFSET(MonsterStats!$A$5,41*($A30-3)/3,26)</f>
        <v>0</v>
      </c>
      <c r="F30" s="165">
        <f ca="1">OFFSET(MonsterStats!$G$5,41*($A30-3)/3,26)</f>
        <v>0</v>
      </c>
      <c r="G30" s="165">
        <f ca="1">OFFSET(MonsterStats!$H$5,41*($A30-3)/3,26)</f>
        <v>0</v>
      </c>
      <c r="H30" s="165">
        <f ca="1">OFFSET(MonsterStats!$I$5,41*($A30-3)/3,26)</f>
        <v>0</v>
      </c>
      <c r="I30" s="165" t="str">
        <f t="shared" ca="1" si="0"/>
        <v>00+0</v>
      </c>
      <c r="J30" s="165"/>
      <c r="K30" s="165"/>
      <c r="L30" s="165" t="s">
        <v>43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AN233"/>
  <sheetViews>
    <sheetView topLeftCell="A146" workbookViewId="0">
      <selection activeCell="I6" sqref="I6"/>
    </sheetView>
  </sheetViews>
  <sheetFormatPr defaultRowHeight="15" x14ac:dyDescent="0.25"/>
  <cols>
    <col min="9" max="9" width="14.28515625" customWidth="1"/>
    <col min="12" max="12" width="23.28515625" customWidth="1"/>
  </cols>
  <sheetData>
    <row r="1" spans="1:40" ht="15.75" thickBot="1" x14ac:dyDescent="0.3">
      <c r="A1" s="72" t="s">
        <v>16</v>
      </c>
      <c r="B1" s="69" t="s">
        <v>14</v>
      </c>
      <c r="C1" s="72" t="s">
        <v>15</v>
      </c>
      <c r="D1" s="67" t="s">
        <v>17</v>
      </c>
      <c r="E1" s="75" t="s">
        <v>18</v>
      </c>
      <c r="F1" s="75" t="s">
        <v>19</v>
      </c>
      <c r="G1" s="68" t="s">
        <v>20</v>
      </c>
      <c r="H1" s="80" t="s">
        <v>21</v>
      </c>
      <c r="I1" s="18"/>
      <c r="J1" s="19"/>
      <c r="K1" s="82" t="s">
        <v>885</v>
      </c>
      <c r="L1" s="82" t="s">
        <v>886</v>
      </c>
    </row>
    <row r="2" spans="1:40" ht="15.75" thickBot="1" x14ac:dyDescent="0.3">
      <c r="A2" s="73">
        <v>1</v>
      </c>
      <c r="B2" s="70" t="s">
        <v>854</v>
      </c>
      <c r="C2" s="73">
        <v>3</v>
      </c>
      <c r="D2" s="74">
        <f>IFERROR(INDEX($T$3:$W$22,MATCH($C2,$R$3:$R$22,0),1),0)</f>
        <v>75</v>
      </c>
      <c r="E2" s="3">
        <f>IFERROR(INDEX($T$3:$W$22,MATCH($C2,$R$3:$R$22,0),2),0)</f>
        <v>150</v>
      </c>
      <c r="F2" s="3">
        <f>IFERROR(INDEX($T$3:$W$22,MATCH($C2,$R$3:$R$22,0),3),0)</f>
        <v>225</v>
      </c>
      <c r="G2" s="51">
        <f>IFERROR(INDEX($T$3:$W$22,MATCH($C2,$R$3:$R$22,0),4),0)</f>
        <v>400</v>
      </c>
      <c r="H2" s="79">
        <f>IFERROR(INDEX($X$3:$X$22,MATCH(C2,$R$3:$R$22),1),0)</f>
        <v>1200</v>
      </c>
      <c r="I2" s="1" t="s">
        <v>862</v>
      </c>
      <c r="J2" s="1">
        <f>COUNTIF(C2:C11,"&gt;0")</f>
        <v>5</v>
      </c>
      <c r="K2" s="166">
        <v>1</v>
      </c>
      <c r="L2" t="str">
        <f>IF(EncounterName1=0,"",EncounterName1)</f>
        <v>Scouts</v>
      </c>
      <c r="R2" t="s">
        <v>15</v>
      </c>
      <c r="S2" t="s">
        <v>25</v>
      </c>
      <c r="T2" t="s">
        <v>17</v>
      </c>
      <c r="U2" t="s">
        <v>18</v>
      </c>
      <c r="V2" t="s">
        <v>19</v>
      </c>
      <c r="W2" t="s">
        <v>20</v>
      </c>
      <c r="X2" t="s">
        <v>21</v>
      </c>
      <c r="Y2" t="s">
        <v>22</v>
      </c>
      <c r="AA2" s="58" t="s">
        <v>11</v>
      </c>
      <c r="AB2" s="59" t="s">
        <v>26</v>
      </c>
      <c r="AC2" s="60" t="s">
        <v>22</v>
      </c>
      <c r="AF2" s="291" t="s">
        <v>28</v>
      </c>
      <c r="AG2" s="286" t="s">
        <v>27</v>
      </c>
      <c r="AH2" s="287"/>
      <c r="AI2" s="287"/>
      <c r="AJ2" s="287"/>
      <c r="AK2" s="287"/>
      <c r="AL2" s="287"/>
      <c r="AM2" s="287"/>
      <c r="AN2" s="288"/>
    </row>
    <row r="3" spans="1:40" ht="15.75" thickBot="1" x14ac:dyDescent="0.3">
      <c r="A3" s="44">
        <v>2</v>
      </c>
      <c r="B3" s="71" t="s">
        <v>855</v>
      </c>
      <c r="C3" s="44">
        <v>3</v>
      </c>
      <c r="D3" s="7">
        <f t="shared" ref="D3:D11" si="0">IFERROR(INDEX($T$3:$W$22,MATCH($C3,$R$3:$R$22,0),1),0)</f>
        <v>75</v>
      </c>
      <c r="E3" s="1">
        <f t="shared" ref="E3:E11" si="1">IFERROR(INDEX($T$3:$W$22,MATCH($C3,$R$3:$R$22,0),2),0)</f>
        <v>150</v>
      </c>
      <c r="F3" s="1">
        <f t="shared" ref="F3:F11" si="2">IFERROR(INDEX($T$3:$W$22,MATCH($C3,$R$3:$R$22,0),3),0)</f>
        <v>225</v>
      </c>
      <c r="G3" s="8">
        <f t="shared" ref="G3:G11" si="3">IFERROR(INDEX($T$3:$W$22,MATCH($C3,$R$3:$R$22,0),4),0)</f>
        <v>400</v>
      </c>
      <c r="H3" s="40">
        <f t="shared" ref="H3:H11" si="4">IFERROR(INDEX($X$3:$X$22,MATCH(C3,$R$3:$R$22),1),0)</f>
        <v>1200</v>
      </c>
      <c r="I3" s="1" t="s">
        <v>863</v>
      </c>
      <c r="J3" s="1">
        <f>AVERAGE(C2:C11)</f>
        <v>3.2</v>
      </c>
      <c r="K3" s="47">
        <v>2</v>
      </c>
      <c r="L3" t="str">
        <f>IF(EncounterName2=0,"",EncounterName2)</f>
        <v>Rear Guard</v>
      </c>
      <c r="R3" s="39">
        <v>1</v>
      </c>
      <c r="S3" s="43">
        <v>0</v>
      </c>
      <c r="T3" s="4">
        <v>25</v>
      </c>
      <c r="U3" s="5">
        <v>50</v>
      </c>
      <c r="V3" s="5">
        <v>75</v>
      </c>
      <c r="W3" s="6">
        <v>100</v>
      </c>
      <c r="X3" s="43">
        <v>300</v>
      </c>
      <c r="Y3" s="46">
        <v>1</v>
      </c>
      <c r="AA3" s="61">
        <v>0</v>
      </c>
      <c r="AB3" s="3">
        <v>10</v>
      </c>
      <c r="AC3" s="51">
        <f>1/3</f>
        <v>0.33333333333333331</v>
      </c>
      <c r="AF3" s="292"/>
      <c r="AG3" s="54">
        <v>1</v>
      </c>
      <c r="AH3" s="52">
        <v>2</v>
      </c>
      <c r="AI3" s="52">
        <v>3</v>
      </c>
      <c r="AJ3" s="52">
        <v>4</v>
      </c>
      <c r="AK3" s="52">
        <v>5</v>
      </c>
      <c r="AL3" s="52">
        <v>6</v>
      </c>
      <c r="AM3" s="52">
        <v>7</v>
      </c>
      <c r="AN3" s="53">
        <v>8</v>
      </c>
    </row>
    <row r="4" spans="1:40" x14ac:dyDescent="0.25">
      <c r="A4" s="44">
        <v>3</v>
      </c>
      <c r="B4" s="71" t="s">
        <v>856</v>
      </c>
      <c r="C4" s="44">
        <v>3</v>
      </c>
      <c r="D4" s="7">
        <f t="shared" si="0"/>
        <v>75</v>
      </c>
      <c r="E4" s="1">
        <f t="shared" si="1"/>
        <v>150</v>
      </c>
      <c r="F4" s="1">
        <f t="shared" si="2"/>
        <v>225</v>
      </c>
      <c r="G4" s="8">
        <f t="shared" si="3"/>
        <v>400</v>
      </c>
      <c r="H4" s="40">
        <f t="shared" si="4"/>
        <v>1200</v>
      </c>
      <c r="I4" s="1" t="s">
        <v>864</v>
      </c>
      <c r="J4" s="1">
        <f>MAX(C2:D11)</f>
        <v>125</v>
      </c>
      <c r="K4" s="47">
        <v>3</v>
      </c>
      <c r="L4" t="str">
        <f>IF(EncounterName3=0,"",EncounterName3)</f>
        <v>Guard</v>
      </c>
      <c r="R4" s="40">
        <v>2</v>
      </c>
      <c r="S4" s="44">
        <v>300</v>
      </c>
      <c r="T4" s="7">
        <v>50</v>
      </c>
      <c r="U4" s="1">
        <v>100</v>
      </c>
      <c r="V4" s="1">
        <v>150</v>
      </c>
      <c r="W4" s="8">
        <v>200</v>
      </c>
      <c r="X4" s="44">
        <v>600</v>
      </c>
      <c r="Y4" s="47">
        <v>1.5</v>
      </c>
      <c r="AA4" s="62">
        <v>0.125</v>
      </c>
      <c r="AB4" s="1">
        <v>25</v>
      </c>
      <c r="AC4" s="8">
        <f>2/3</f>
        <v>0.66666666666666663</v>
      </c>
      <c r="AF4" s="43">
        <v>1</v>
      </c>
      <c r="AG4" s="55">
        <v>1.5</v>
      </c>
      <c r="AH4" s="3">
        <f>AVERAGE(AG4,AG4,AJ4)</f>
        <v>1.3333333333333333</v>
      </c>
      <c r="AI4" s="3">
        <f>AVERAGE(AG4,AJ4,AJ4)</f>
        <v>1.1666666666666667</v>
      </c>
      <c r="AJ4" s="50">
        <v>1</v>
      </c>
      <c r="AK4" s="3">
        <f t="shared" ref="AK4:AK18" si="5">AVERAGE(AJ4,AJ4,AM4)</f>
        <v>0.83333333333333337</v>
      </c>
      <c r="AL4" s="3">
        <f t="shared" ref="AL4:AL18" si="6">AVERAGE(AJ4,AM4,AM4)</f>
        <v>0.66666666666666663</v>
      </c>
      <c r="AM4" s="50">
        <v>0.5</v>
      </c>
      <c r="AN4" s="51">
        <f>AM4-(AL4-AM4)</f>
        <v>0.33333333333333337</v>
      </c>
    </row>
    <row r="5" spans="1:40" x14ac:dyDescent="0.25">
      <c r="A5" s="44">
        <v>4</v>
      </c>
      <c r="B5" s="71" t="s">
        <v>857</v>
      </c>
      <c r="C5" s="44">
        <v>4</v>
      </c>
      <c r="D5" s="7">
        <f t="shared" si="0"/>
        <v>125</v>
      </c>
      <c r="E5" s="1">
        <f t="shared" si="1"/>
        <v>250</v>
      </c>
      <c r="F5" s="1">
        <f t="shared" si="2"/>
        <v>375</v>
      </c>
      <c r="G5" s="8">
        <f t="shared" si="3"/>
        <v>500</v>
      </c>
      <c r="H5" s="40">
        <f t="shared" si="4"/>
        <v>1700</v>
      </c>
      <c r="I5" s="1" t="s">
        <v>870</v>
      </c>
      <c r="J5" s="1">
        <f>PartyCPDay/3</f>
        <v>2166.6666666666665</v>
      </c>
      <c r="K5" s="47">
        <v>4</v>
      </c>
      <c r="L5" t="str">
        <f>IF(EncounterName4=0,"",EncounterName4)</f>
        <v>Honor Guard</v>
      </c>
      <c r="R5" s="40">
        <v>3</v>
      </c>
      <c r="S5" s="44">
        <v>900</v>
      </c>
      <c r="T5" s="7">
        <v>75</v>
      </c>
      <c r="U5" s="1">
        <v>150</v>
      </c>
      <c r="V5" s="1">
        <v>225</v>
      </c>
      <c r="W5" s="8">
        <v>400</v>
      </c>
      <c r="X5" s="44">
        <v>1200</v>
      </c>
      <c r="Y5" s="47">
        <v>2.5</v>
      </c>
      <c r="AA5" s="63">
        <v>0.25</v>
      </c>
      <c r="AB5" s="1">
        <v>50</v>
      </c>
      <c r="AC5" s="8">
        <v>1</v>
      </c>
      <c r="AF5" s="44">
        <v>2</v>
      </c>
      <c r="AG5" s="56">
        <v>2</v>
      </c>
      <c r="AH5" s="1">
        <f t="shared" ref="AH5:AH18" si="7">AVERAGE(AG5,AG5,AJ5)</f>
        <v>1.8333333333333333</v>
      </c>
      <c r="AI5" s="1">
        <f t="shared" ref="AI5:AI18" si="8">AVERAGE(AG5,AJ5,AJ5)</f>
        <v>1.6666666666666667</v>
      </c>
      <c r="AJ5" s="15">
        <v>1.5</v>
      </c>
      <c r="AK5" s="1">
        <f t="shared" si="5"/>
        <v>1.3333333333333333</v>
      </c>
      <c r="AL5" s="1">
        <f t="shared" si="6"/>
        <v>1.1666666666666667</v>
      </c>
      <c r="AM5" s="15">
        <v>1</v>
      </c>
      <c r="AN5" s="8">
        <f t="shared" ref="AN5:AN18" si="9">AM5-(AL5-AM5)</f>
        <v>0.83333333333333326</v>
      </c>
    </row>
    <row r="6" spans="1:40" x14ac:dyDescent="0.25">
      <c r="A6" s="44">
        <v>5</v>
      </c>
      <c r="B6" s="71" t="s">
        <v>858</v>
      </c>
      <c r="C6" s="44">
        <v>3</v>
      </c>
      <c r="D6" s="7">
        <f t="shared" si="0"/>
        <v>75</v>
      </c>
      <c r="E6" s="1">
        <f t="shared" si="1"/>
        <v>150</v>
      </c>
      <c r="F6" s="1">
        <f t="shared" si="2"/>
        <v>225</v>
      </c>
      <c r="G6" s="8">
        <f t="shared" si="3"/>
        <v>400</v>
      </c>
      <c r="H6" s="40">
        <f t="shared" si="4"/>
        <v>1200</v>
      </c>
      <c r="I6" s="1" t="s">
        <v>872</v>
      </c>
      <c r="J6" s="1">
        <v>2</v>
      </c>
      <c r="K6" s="47">
        <v>5</v>
      </c>
      <c r="L6" t="str">
        <f>IF(EncounterName5=0,"",EncounterName5)</f>
        <v>Guard Station</v>
      </c>
      <c r="R6" s="40">
        <v>4</v>
      </c>
      <c r="S6" s="44">
        <v>2700</v>
      </c>
      <c r="T6" s="7">
        <v>125</v>
      </c>
      <c r="U6" s="1">
        <v>250</v>
      </c>
      <c r="V6" s="1">
        <v>375</v>
      </c>
      <c r="W6" s="8">
        <v>500</v>
      </c>
      <c r="X6" s="44">
        <v>1700</v>
      </c>
      <c r="Y6" s="47">
        <v>3</v>
      </c>
      <c r="AA6" s="63">
        <v>0.5</v>
      </c>
      <c r="AB6" s="1">
        <v>100</v>
      </c>
      <c r="AC6" s="8">
        <v>1.5</v>
      </c>
      <c r="AF6" s="44">
        <v>3</v>
      </c>
      <c r="AG6" s="56">
        <v>2.5</v>
      </c>
      <c r="AH6" s="1">
        <f t="shared" si="7"/>
        <v>2.3333333333333335</v>
      </c>
      <c r="AI6" s="1">
        <f t="shared" si="8"/>
        <v>2.1666666666666665</v>
      </c>
      <c r="AJ6" s="15">
        <v>2</v>
      </c>
      <c r="AK6" s="1">
        <f t="shared" si="5"/>
        <v>1.8333333333333333</v>
      </c>
      <c r="AL6" s="1">
        <f t="shared" si="6"/>
        <v>1.6666666666666667</v>
      </c>
      <c r="AM6" s="15">
        <v>1.5</v>
      </c>
      <c r="AN6" s="8">
        <f t="shared" si="9"/>
        <v>1.3333333333333333</v>
      </c>
    </row>
    <row r="7" spans="1:40" x14ac:dyDescent="0.25">
      <c r="A7" s="44">
        <v>6</v>
      </c>
      <c r="B7" s="71"/>
      <c r="C7" s="44"/>
      <c r="D7" s="7">
        <f t="shared" si="0"/>
        <v>0</v>
      </c>
      <c r="E7" s="1">
        <f t="shared" si="1"/>
        <v>0</v>
      </c>
      <c r="F7" s="1">
        <f t="shared" si="2"/>
        <v>0</v>
      </c>
      <c r="G7" s="8">
        <f t="shared" si="3"/>
        <v>0</v>
      </c>
      <c r="H7" s="40">
        <f t="shared" si="4"/>
        <v>0</v>
      </c>
      <c r="I7" s="1" t="s">
        <v>1161</v>
      </c>
      <c r="J7" s="1">
        <f>INDEX(AA3:AA35,MATCH(PartyDeadly,AB3:AB35,1),1)</f>
        <v>5</v>
      </c>
      <c r="K7" s="47">
        <v>6</v>
      </c>
      <c r="L7" t="str">
        <f>IF(EncounterName6=0,"",EncounterName6)</f>
        <v>Entrance</v>
      </c>
      <c r="R7" s="40">
        <v>5</v>
      </c>
      <c r="S7" s="44">
        <v>6500</v>
      </c>
      <c r="T7" s="7">
        <v>250</v>
      </c>
      <c r="U7" s="1">
        <v>500</v>
      </c>
      <c r="V7" s="1">
        <v>750</v>
      </c>
      <c r="W7" s="8">
        <v>1100</v>
      </c>
      <c r="X7" s="44">
        <v>3500</v>
      </c>
      <c r="Y7" s="47">
        <v>5</v>
      </c>
      <c r="AA7" s="63">
        <v>1</v>
      </c>
      <c r="AB7" s="1">
        <v>200</v>
      </c>
      <c r="AC7" s="8">
        <v>2</v>
      </c>
      <c r="AF7" s="44">
        <v>4</v>
      </c>
      <c r="AG7" s="42">
        <f t="shared" ref="AG7:AM7" si="10">AVERAGE(AG6,AG8)</f>
        <v>2.625</v>
      </c>
      <c r="AH7" s="1">
        <f t="shared" si="7"/>
        <v>2.4583333333333335</v>
      </c>
      <c r="AI7" s="1">
        <f t="shared" si="8"/>
        <v>2.2916666666666665</v>
      </c>
      <c r="AJ7" s="1">
        <f t="shared" si="10"/>
        <v>2.125</v>
      </c>
      <c r="AK7" s="1">
        <f t="shared" si="5"/>
        <v>1.9583333333333333</v>
      </c>
      <c r="AL7" s="1">
        <f t="shared" si="6"/>
        <v>1.7916666666666667</v>
      </c>
      <c r="AM7" s="1">
        <f t="shared" si="10"/>
        <v>1.625</v>
      </c>
      <c r="AN7" s="8">
        <f t="shared" si="9"/>
        <v>1.4583333333333333</v>
      </c>
    </row>
    <row r="8" spans="1:40" x14ac:dyDescent="0.25">
      <c r="A8" s="44">
        <v>7</v>
      </c>
      <c r="B8" s="71"/>
      <c r="C8" s="44"/>
      <c r="D8" s="7">
        <f t="shared" si="0"/>
        <v>0</v>
      </c>
      <c r="E8" s="1">
        <f t="shared" si="1"/>
        <v>0</v>
      </c>
      <c r="F8" s="1">
        <f t="shared" si="2"/>
        <v>0</v>
      </c>
      <c r="G8" s="8">
        <f t="shared" si="3"/>
        <v>0</v>
      </c>
      <c r="H8" s="40">
        <f t="shared" si="4"/>
        <v>0</v>
      </c>
      <c r="I8" s="20"/>
      <c r="J8" s="22"/>
      <c r="K8" s="44">
        <v>7</v>
      </c>
      <c r="L8" t="str">
        <f>IF(EncounterName7=0,"",EncounterName7)</f>
        <v/>
      </c>
      <c r="R8" s="40">
        <v>6</v>
      </c>
      <c r="S8" s="44">
        <v>14000</v>
      </c>
      <c r="T8" s="7">
        <v>300</v>
      </c>
      <c r="U8" s="1">
        <v>600</v>
      </c>
      <c r="V8" s="1">
        <v>900</v>
      </c>
      <c r="W8" s="8">
        <v>1400</v>
      </c>
      <c r="X8" s="44">
        <v>4000</v>
      </c>
      <c r="Y8" s="47">
        <v>6</v>
      </c>
      <c r="AA8" s="63">
        <v>2</v>
      </c>
      <c r="AB8" s="1">
        <v>450</v>
      </c>
      <c r="AC8" s="8">
        <v>4</v>
      </c>
      <c r="AF8" s="44">
        <v>5</v>
      </c>
      <c r="AG8" s="42">
        <f t="shared" ref="AG8:AM8" si="11">AVERAGE(AG6,AG10)</f>
        <v>2.75</v>
      </c>
      <c r="AH8" s="1">
        <f t="shared" si="7"/>
        <v>2.5833333333333335</v>
      </c>
      <c r="AI8" s="1">
        <f t="shared" si="8"/>
        <v>2.4166666666666665</v>
      </c>
      <c r="AJ8" s="1">
        <f t="shared" si="11"/>
        <v>2.25</v>
      </c>
      <c r="AK8" s="1">
        <f t="shared" si="5"/>
        <v>2.0833333333333335</v>
      </c>
      <c r="AL8" s="1">
        <f t="shared" si="6"/>
        <v>1.9166666666666667</v>
      </c>
      <c r="AM8" s="1">
        <f t="shared" si="11"/>
        <v>1.75</v>
      </c>
      <c r="AN8" s="8">
        <f t="shared" si="9"/>
        <v>1.5833333333333333</v>
      </c>
    </row>
    <row r="9" spans="1:40" x14ac:dyDescent="0.25">
      <c r="A9" s="44">
        <v>8</v>
      </c>
      <c r="B9" s="71"/>
      <c r="C9" s="44"/>
      <c r="D9" s="7">
        <f t="shared" si="0"/>
        <v>0</v>
      </c>
      <c r="E9" s="1">
        <f t="shared" si="1"/>
        <v>0</v>
      </c>
      <c r="F9" s="1">
        <f t="shared" si="2"/>
        <v>0</v>
      </c>
      <c r="G9" s="8">
        <f t="shared" si="3"/>
        <v>0</v>
      </c>
      <c r="H9" s="40">
        <f t="shared" si="4"/>
        <v>0</v>
      </c>
      <c r="I9" s="20"/>
      <c r="J9" s="22"/>
      <c r="K9" s="44">
        <v>8</v>
      </c>
      <c r="L9" t="str">
        <f>IF(EncounterName8=0,"",EncounterName8)</f>
        <v/>
      </c>
      <c r="R9" s="40">
        <v>7</v>
      </c>
      <c r="S9" s="44">
        <v>23000</v>
      </c>
      <c r="T9" s="7">
        <v>350</v>
      </c>
      <c r="U9" s="1">
        <v>750</v>
      </c>
      <c r="V9" s="1">
        <v>1100</v>
      </c>
      <c r="W9" s="8">
        <v>1700</v>
      </c>
      <c r="X9" s="44">
        <v>5000</v>
      </c>
      <c r="Y9" s="47">
        <v>7</v>
      </c>
      <c r="AA9" s="63">
        <v>3</v>
      </c>
      <c r="AB9" s="1">
        <v>700</v>
      </c>
      <c r="AC9" s="8">
        <v>6</v>
      </c>
      <c r="AF9" s="44">
        <v>6</v>
      </c>
      <c r="AG9" s="42">
        <f t="shared" ref="AG9:AM9" si="12">AVERAGE(AG8,AG10)</f>
        <v>2.875</v>
      </c>
      <c r="AH9" s="1">
        <f t="shared" si="7"/>
        <v>2.7083333333333335</v>
      </c>
      <c r="AI9" s="1">
        <f t="shared" si="8"/>
        <v>2.5416666666666665</v>
      </c>
      <c r="AJ9" s="1">
        <f t="shared" si="12"/>
        <v>2.375</v>
      </c>
      <c r="AK9" s="1">
        <f t="shared" si="5"/>
        <v>2.2083333333333335</v>
      </c>
      <c r="AL9" s="1">
        <f t="shared" si="6"/>
        <v>2.0416666666666665</v>
      </c>
      <c r="AM9" s="1">
        <f t="shared" si="12"/>
        <v>1.875</v>
      </c>
      <c r="AN9" s="8">
        <f t="shared" si="9"/>
        <v>1.7083333333333335</v>
      </c>
    </row>
    <row r="10" spans="1:40" x14ac:dyDescent="0.25">
      <c r="A10" s="44">
        <v>9</v>
      </c>
      <c r="B10" s="71"/>
      <c r="C10" s="44"/>
      <c r="D10" s="7">
        <f t="shared" si="0"/>
        <v>0</v>
      </c>
      <c r="E10" s="1">
        <f t="shared" si="1"/>
        <v>0</v>
      </c>
      <c r="F10" s="1">
        <f t="shared" si="2"/>
        <v>0</v>
      </c>
      <c r="G10" s="8">
        <f t="shared" si="3"/>
        <v>0</v>
      </c>
      <c r="H10" s="40">
        <f t="shared" si="4"/>
        <v>0</v>
      </c>
      <c r="I10" s="20"/>
      <c r="J10" s="22"/>
      <c r="K10" s="44">
        <v>9</v>
      </c>
      <c r="L10" t="str">
        <f>IF(EncounterName9=0,"",EncounterName9)</f>
        <v/>
      </c>
      <c r="R10" s="40">
        <v>8</v>
      </c>
      <c r="S10" s="44">
        <v>34000</v>
      </c>
      <c r="T10" s="7">
        <v>450</v>
      </c>
      <c r="U10" s="1">
        <v>900</v>
      </c>
      <c r="V10" s="1">
        <v>1400</v>
      </c>
      <c r="W10" s="10">
        <v>2100</v>
      </c>
      <c r="X10" s="44">
        <v>6000</v>
      </c>
      <c r="Y10" s="47">
        <v>8</v>
      </c>
      <c r="AA10" s="63">
        <v>4</v>
      </c>
      <c r="AB10" s="1">
        <v>1100</v>
      </c>
      <c r="AC10" s="8">
        <v>8</v>
      </c>
      <c r="AF10" s="44">
        <v>7</v>
      </c>
      <c r="AG10" s="56">
        <v>3</v>
      </c>
      <c r="AH10" s="1">
        <f t="shared" si="7"/>
        <v>2.8333333333333335</v>
      </c>
      <c r="AI10" s="1">
        <f t="shared" si="8"/>
        <v>2.6666666666666665</v>
      </c>
      <c r="AJ10" s="15">
        <v>2.5</v>
      </c>
      <c r="AK10" s="1">
        <f t="shared" si="5"/>
        <v>2.3333333333333335</v>
      </c>
      <c r="AL10" s="1">
        <f t="shared" si="6"/>
        <v>2.1666666666666665</v>
      </c>
      <c r="AM10" s="15">
        <v>2</v>
      </c>
      <c r="AN10" s="8">
        <f t="shared" si="9"/>
        <v>1.8333333333333335</v>
      </c>
    </row>
    <row r="11" spans="1:40" ht="15.75" thickBot="1" x14ac:dyDescent="0.3">
      <c r="A11" s="45">
        <v>10</v>
      </c>
      <c r="B11" s="71"/>
      <c r="C11" s="45"/>
      <c r="D11" s="11">
        <f t="shared" si="0"/>
        <v>0</v>
      </c>
      <c r="E11" s="2">
        <f t="shared" si="1"/>
        <v>0</v>
      </c>
      <c r="F11" s="2">
        <f t="shared" si="2"/>
        <v>0</v>
      </c>
      <c r="G11" s="17">
        <f t="shared" si="3"/>
        <v>0</v>
      </c>
      <c r="H11" s="41">
        <f t="shared" si="4"/>
        <v>0</v>
      </c>
      <c r="I11" s="20"/>
      <c r="J11" s="22"/>
      <c r="K11" s="45">
        <v>10</v>
      </c>
      <c r="L11" t="str">
        <f>IF(EncounterName10=0,"",EncounterName10)</f>
        <v/>
      </c>
      <c r="R11" s="40">
        <v>9</v>
      </c>
      <c r="S11" s="44">
        <v>48000</v>
      </c>
      <c r="T11" s="7">
        <v>550</v>
      </c>
      <c r="U11" s="1">
        <v>1100</v>
      </c>
      <c r="V11" s="1">
        <v>1600</v>
      </c>
      <c r="W11" s="10">
        <v>2400</v>
      </c>
      <c r="X11" s="44">
        <v>7500</v>
      </c>
      <c r="Y11" s="47">
        <v>9</v>
      </c>
      <c r="AA11" s="63">
        <v>5</v>
      </c>
      <c r="AB11" s="1">
        <v>1800</v>
      </c>
      <c r="AC11" s="8">
        <v>11</v>
      </c>
      <c r="AF11" s="44">
        <v>8</v>
      </c>
      <c r="AG11" s="42">
        <f t="shared" ref="AG11" si="13">AVERAGE(AG10,AG12)</f>
        <v>3.25</v>
      </c>
      <c r="AH11" s="1">
        <f t="shared" si="7"/>
        <v>3.0416666666666665</v>
      </c>
      <c r="AI11" s="1">
        <f t="shared" si="8"/>
        <v>2.8333333333333335</v>
      </c>
      <c r="AJ11" s="1">
        <f>AVERAGE(AJ10,AJ12)</f>
        <v>2.625</v>
      </c>
      <c r="AK11" s="1">
        <f t="shared" si="5"/>
        <v>2.4583333333333335</v>
      </c>
      <c r="AL11" s="1">
        <f t="shared" si="6"/>
        <v>2.2916666666666665</v>
      </c>
      <c r="AM11" s="1">
        <f t="shared" ref="AM11" si="14">AVERAGE(AM10,AM12)</f>
        <v>2.125</v>
      </c>
      <c r="AN11" s="8">
        <f t="shared" si="9"/>
        <v>1.9583333333333335</v>
      </c>
    </row>
    <row r="12" spans="1:40" ht="15.75" thickBot="1" x14ac:dyDescent="0.3">
      <c r="A12" s="3"/>
      <c r="B12" s="1" t="s">
        <v>862</v>
      </c>
      <c r="C12" s="66"/>
      <c r="D12" s="76">
        <f>SUM(D2:D11)</f>
        <v>425</v>
      </c>
      <c r="E12" s="59">
        <f t="shared" ref="E12:H12" si="15">SUM(E2:E11)</f>
        <v>850</v>
      </c>
      <c r="F12" s="59">
        <f t="shared" si="15"/>
        <v>1275</v>
      </c>
      <c r="G12" s="59">
        <f t="shared" si="15"/>
        <v>2100</v>
      </c>
      <c r="H12" s="81">
        <f t="shared" si="15"/>
        <v>6500</v>
      </c>
      <c r="I12" s="23"/>
      <c r="J12" s="25"/>
      <c r="R12" s="40">
        <v>10</v>
      </c>
      <c r="S12" s="44">
        <v>64000</v>
      </c>
      <c r="T12" s="7">
        <v>600</v>
      </c>
      <c r="U12" s="1">
        <v>1200</v>
      </c>
      <c r="V12" s="9">
        <v>1900</v>
      </c>
      <c r="W12" s="10">
        <v>2800</v>
      </c>
      <c r="X12" s="44">
        <v>9000</v>
      </c>
      <c r="Y12" s="47">
        <v>10</v>
      </c>
      <c r="AA12" s="63">
        <v>6</v>
      </c>
      <c r="AB12" s="1">
        <v>2300</v>
      </c>
      <c r="AC12" s="8">
        <v>13</v>
      </c>
      <c r="AF12" s="44">
        <v>9</v>
      </c>
      <c r="AG12" s="42">
        <f t="shared" ref="AG12" si="16">AVERAGE(AG10,AG14)</f>
        <v>3.5</v>
      </c>
      <c r="AH12" s="1">
        <f t="shared" si="7"/>
        <v>3.25</v>
      </c>
      <c r="AI12" s="1">
        <f t="shared" si="8"/>
        <v>3</v>
      </c>
      <c r="AJ12" s="1">
        <f>AVERAGE(AJ10,AJ14)</f>
        <v>2.75</v>
      </c>
      <c r="AK12" s="1">
        <f t="shared" si="5"/>
        <v>2.5833333333333335</v>
      </c>
      <c r="AL12" s="1">
        <f t="shared" si="6"/>
        <v>2.4166666666666665</v>
      </c>
      <c r="AM12" s="1">
        <f t="shared" ref="AM12" si="17">AVERAGE(AM10,AM14)</f>
        <v>2.25</v>
      </c>
      <c r="AN12" s="8">
        <f t="shared" si="9"/>
        <v>2.0833333333333335</v>
      </c>
    </row>
    <row r="13" spans="1:40" ht="15.75" thickBot="1" x14ac:dyDescent="0.3">
      <c r="R13" s="40">
        <v>11</v>
      </c>
      <c r="S13" s="44">
        <v>85000</v>
      </c>
      <c r="T13" s="7">
        <v>800</v>
      </c>
      <c r="U13" s="1">
        <v>1600</v>
      </c>
      <c r="V13" s="9">
        <v>2400</v>
      </c>
      <c r="W13" s="10">
        <v>3600</v>
      </c>
      <c r="X13" s="44">
        <v>10500</v>
      </c>
      <c r="Y13" s="47">
        <v>11</v>
      </c>
      <c r="AA13" s="63">
        <v>7</v>
      </c>
      <c r="AB13" s="1">
        <v>2900</v>
      </c>
      <c r="AC13" s="8">
        <v>15</v>
      </c>
      <c r="AF13" s="44">
        <v>10</v>
      </c>
      <c r="AG13" s="42">
        <f t="shared" ref="AG13" si="18">AVERAGE(AG12,AG14)</f>
        <v>3.75</v>
      </c>
      <c r="AH13" s="1">
        <f t="shared" si="7"/>
        <v>3.4583333333333335</v>
      </c>
      <c r="AI13" s="1">
        <f t="shared" si="8"/>
        <v>3.1666666666666665</v>
      </c>
      <c r="AJ13" s="1">
        <f>AVERAGE(AJ12,AJ14)</f>
        <v>2.875</v>
      </c>
      <c r="AK13" s="1">
        <f t="shared" si="5"/>
        <v>2.7083333333333335</v>
      </c>
      <c r="AL13" s="1">
        <f t="shared" si="6"/>
        <v>2.5416666666666665</v>
      </c>
      <c r="AM13" s="1">
        <f t="shared" ref="AM13" si="19">AVERAGE(AM12,AM14)</f>
        <v>2.375</v>
      </c>
      <c r="AN13" s="8">
        <f t="shared" si="9"/>
        <v>2.2083333333333335</v>
      </c>
    </row>
    <row r="14" spans="1:40" ht="15.75" thickBot="1" x14ac:dyDescent="0.3">
      <c r="A14" s="286" t="s">
        <v>42</v>
      </c>
      <c r="B14" s="287"/>
      <c r="C14" s="286" t="s">
        <v>1162</v>
      </c>
      <c r="D14" s="287"/>
      <c r="E14" s="287"/>
      <c r="F14" s="287"/>
      <c r="G14" s="287"/>
      <c r="H14" s="287"/>
      <c r="I14" s="288"/>
      <c r="R14" s="40">
        <v>12</v>
      </c>
      <c r="S14" s="44">
        <v>100000</v>
      </c>
      <c r="T14" s="7">
        <v>1000</v>
      </c>
      <c r="U14" s="1">
        <v>2000</v>
      </c>
      <c r="V14" s="9">
        <v>3000</v>
      </c>
      <c r="W14" s="10">
        <v>4500</v>
      </c>
      <c r="X14" s="44">
        <v>11500</v>
      </c>
      <c r="Y14" s="47">
        <v>12</v>
      </c>
      <c r="AA14" s="63">
        <v>8</v>
      </c>
      <c r="AB14" s="1">
        <v>3900</v>
      </c>
      <c r="AC14" s="8">
        <v>18</v>
      </c>
      <c r="AF14" s="44">
        <v>11</v>
      </c>
      <c r="AG14" s="56">
        <v>4</v>
      </c>
      <c r="AH14" s="1">
        <f t="shared" si="7"/>
        <v>3.6666666666666665</v>
      </c>
      <c r="AI14" s="1">
        <f t="shared" si="8"/>
        <v>3.3333333333333335</v>
      </c>
      <c r="AJ14" s="15">
        <v>3</v>
      </c>
      <c r="AK14" s="1">
        <f t="shared" si="5"/>
        <v>2.8333333333333335</v>
      </c>
      <c r="AL14" s="1">
        <f t="shared" si="6"/>
        <v>2.6666666666666665</v>
      </c>
      <c r="AM14" s="15">
        <v>2.5</v>
      </c>
      <c r="AN14" s="8">
        <f t="shared" si="9"/>
        <v>2.3333333333333335</v>
      </c>
    </row>
    <row r="15" spans="1:40" ht="15.75" thickBot="1" x14ac:dyDescent="0.3">
      <c r="A15" s="76" t="s">
        <v>16</v>
      </c>
      <c r="B15" s="59" t="s">
        <v>23</v>
      </c>
      <c r="C15" s="59" t="s">
        <v>24</v>
      </c>
      <c r="D15" s="59" t="s">
        <v>11</v>
      </c>
      <c r="E15" s="60" t="s">
        <v>1</v>
      </c>
      <c r="F15" s="282" t="s">
        <v>867</v>
      </c>
      <c r="G15" s="283"/>
      <c r="H15" s="206">
        <f ca="1">SUMPRODUCT(C16:C35,E16:E35)</f>
        <v>550</v>
      </c>
      <c r="I15" s="204"/>
      <c r="L15">
        <f ca="1">H15+H37+H59+H81+H103+H125+H147+H169+H213</f>
        <v>8200</v>
      </c>
      <c r="R15" s="40">
        <v>13</v>
      </c>
      <c r="S15" s="44">
        <v>120000</v>
      </c>
      <c r="T15" s="7">
        <v>1100</v>
      </c>
      <c r="U15" s="1">
        <v>2200</v>
      </c>
      <c r="V15" s="9">
        <v>3400</v>
      </c>
      <c r="W15" s="10">
        <v>5100</v>
      </c>
      <c r="X15" s="44">
        <v>13500</v>
      </c>
      <c r="Y15" s="47">
        <v>13</v>
      </c>
      <c r="AA15" s="63">
        <v>9</v>
      </c>
      <c r="AB15" s="1">
        <v>5000</v>
      </c>
      <c r="AC15" s="8">
        <v>21</v>
      </c>
      <c r="AF15" s="44">
        <v>12</v>
      </c>
      <c r="AG15" s="42">
        <f t="shared" ref="AG15" si="20">AVERAGE(AG14,AG16)</f>
        <v>4.25</v>
      </c>
      <c r="AH15" s="1">
        <f t="shared" si="7"/>
        <v>3.9166666666666665</v>
      </c>
      <c r="AI15" s="1">
        <f t="shared" si="8"/>
        <v>3.5833333333333335</v>
      </c>
      <c r="AJ15" s="1">
        <f t="shared" ref="AJ15" si="21">AVERAGE(AJ14,AJ16)</f>
        <v>3.25</v>
      </c>
      <c r="AK15" s="1">
        <f t="shared" si="5"/>
        <v>3.0416666666666665</v>
      </c>
      <c r="AL15" s="1">
        <f t="shared" si="6"/>
        <v>2.8333333333333335</v>
      </c>
      <c r="AM15" s="1">
        <f t="shared" ref="AM15" si="22">AVERAGE(AM14,AM16)</f>
        <v>2.625</v>
      </c>
      <c r="AN15" s="8">
        <f t="shared" si="9"/>
        <v>2.4166666666666665</v>
      </c>
    </row>
    <row r="16" spans="1:40" x14ac:dyDescent="0.25">
      <c r="A16" s="74">
        <v>1</v>
      </c>
      <c r="B16" s="78" t="str">
        <f ca="1">MonsterList!B11</f>
        <v>Scout</v>
      </c>
      <c r="C16" s="3">
        <v>4</v>
      </c>
      <c r="D16" s="3">
        <f ca="1">IFERROR(INDEX(MonsterList!$C$3:$C$1000,MATCH(EncCalc!B16,MonsterList!$B$3:$B$1000,0),1),0)</f>
        <v>0.5</v>
      </c>
      <c r="E16" s="66">
        <f ca="1">200*D16</f>
        <v>100</v>
      </c>
      <c r="F16" s="284" t="s">
        <v>860</v>
      </c>
      <c r="G16" s="285"/>
      <c r="H16" s="186">
        <f>SUM(C16:C35)</f>
        <v>10</v>
      </c>
      <c r="I16" s="192"/>
      <c r="J16">
        <f>ROW(B16)</f>
        <v>16</v>
      </c>
      <c r="R16" s="40">
        <v>14</v>
      </c>
      <c r="S16" s="44">
        <v>140000</v>
      </c>
      <c r="T16" s="7">
        <v>1250</v>
      </c>
      <c r="U16" s="1">
        <v>2500</v>
      </c>
      <c r="V16" s="9">
        <v>3800</v>
      </c>
      <c r="W16" s="10">
        <v>5700</v>
      </c>
      <c r="X16" s="44">
        <v>15000</v>
      </c>
      <c r="Y16" s="47">
        <v>14</v>
      </c>
      <c r="AA16" s="63">
        <v>10</v>
      </c>
      <c r="AB16" s="1">
        <v>5900</v>
      </c>
      <c r="AC16" s="8">
        <v>24</v>
      </c>
      <c r="AF16" s="44">
        <v>13</v>
      </c>
      <c r="AG16" s="42">
        <f t="shared" ref="AG16:AM16" si="23">AVERAGE(AG14,AG18)</f>
        <v>4.5</v>
      </c>
      <c r="AH16" s="1">
        <f t="shared" si="7"/>
        <v>4.166666666666667</v>
      </c>
      <c r="AI16" s="1">
        <f t="shared" si="8"/>
        <v>3.8333333333333335</v>
      </c>
      <c r="AJ16" s="1">
        <f t="shared" si="23"/>
        <v>3.5</v>
      </c>
      <c r="AK16" s="1">
        <f t="shared" si="5"/>
        <v>3.25</v>
      </c>
      <c r="AL16" s="1">
        <f t="shared" si="6"/>
        <v>3</v>
      </c>
      <c r="AM16" s="1">
        <f t="shared" si="23"/>
        <v>2.75</v>
      </c>
      <c r="AN16" s="8">
        <f t="shared" si="9"/>
        <v>2.5</v>
      </c>
    </row>
    <row r="17" spans="1:40" x14ac:dyDescent="0.25">
      <c r="A17" s="7">
        <v>2</v>
      </c>
      <c r="B17" s="1" t="str">
        <f ca="1">MonsterList!B6</f>
        <v>Cultist</v>
      </c>
      <c r="C17" s="1">
        <v>2</v>
      </c>
      <c r="D17" s="3">
        <f ca="1">IFERROR(INDEX(MonsterList!$C$3:$C$1000,MATCH(EncCalc!B17,MonsterList!$B$3:$B$1000,0),1),0)</f>
        <v>0.125</v>
      </c>
      <c r="E17" s="65">
        <f t="shared" ref="E17:E35" ca="1" si="24">200*D17</f>
        <v>25</v>
      </c>
      <c r="F17" s="284" t="s">
        <v>861</v>
      </c>
      <c r="G17" s="285"/>
      <c r="H17" s="186">
        <f>IFERROR(INDEX($AG$4:$AN$18,MATCH(H16,$AF$4:$AF$18,0),MATCH(NumberOfCharacters,$AG$3:$AN$3,0)),0)</f>
        <v>2.7083333333333335</v>
      </c>
      <c r="I17" s="192"/>
      <c r="R17" s="40">
        <v>15</v>
      </c>
      <c r="S17" s="44">
        <v>165000</v>
      </c>
      <c r="T17" s="7">
        <v>1400</v>
      </c>
      <c r="U17" s="1">
        <v>2800</v>
      </c>
      <c r="V17" s="9">
        <v>4300</v>
      </c>
      <c r="W17" s="10">
        <v>6400</v>
      </c>
      <c r="X17" s="44">
        <v>18000</v>
      </c>
      <c r="Y17" s="47">
        <v>16</v>
      </c>
      <c r="AA17" s="63">
        <v>11</v>
      </c>
      <c r="AB17" s="1">
        <v>7200</v>
      </c>
      <c r="AC17" s="8">
        <v>28</v>
      </c>
      <c r="AF17" s="44">
        <v>14</v>
      </c>
      <c r="AG17" s="42">
        <f t="shared" ref="AG17" si="25">AVERAGE(AG16,AG18)</f>
        <v>4.75</v>
      </c>
      <c r="AH17" s="1">
        <f t="shared" si="7"/>
        <v>4.416666666666667</v>
      </c>
      <c r="AI17" s="1">
        <f t="shared" si="8"/>
        <v>4.083333333333333</v>
      </c>
      <c r="AJ17" s="1">
        <f t="shared" ref="AJ17" si="26">AVERAGE(AJ16,AJ18)</f>
        <v>3.75</v>
      </c>
      <c r="AK17" s="1">
        <f t="shared" si="5"/>
        <v>3.4583333333333335</v>
      </c>
      <c r="AL17" s="1">
        <f t="shared" si="6"/>
        <v>3.1666666666666665</v>
      </c>
      <c r="AM17" s="1">
        <f t="shared" ref="AM17" si="27">AVERAGE(AM16,AM18)</f>
        <v>2.875</v>
      </c>
      <c r="AN17" s="8">
        <f t="shared" si="9"/>
        <v>2.5833333333333335</v>
      </c>
    </row>
    <row r="18" spans="1:40" ht="15.75" thickBot="1" x14ac:dyDescent="0.3">
      <c r="A18" s="7">
        <v>3</v>
      </c>
      <c r="B18" s="1" t="str">
        <f ca="1">MonsterList!B9</f>
        <v>Kobold</v>
      </c>
      <c r="C18" s="1">
        <v>4</v>
      </c>
      <c r="D18" s="3">
        <f ca="1">IFERROR(INDEX(MonsterList!$C$3:$C$1000,MATCH(EncCalc!B18,MonsterList!$B$3:$B$1000,0),1),0)</f>
        <v>0.125</v>
      </c>
      <c r="E18" s="65">
        <f t="shared" ca="1" si="24"/>
        <v>25</v>
      </c>
      <c r="F18" s="199" t="s">
        <v>859</v>
      </c>
      <c r="G18" s="186"/>
      <c r="H18" s="186">
        <f ca="1">H17*H15/PartyPower</f>
        <v>744.79166666666674</v>
      </c>
      <c r="I18" s="192"/>
      <c r="R18" s="40">
        <v>16</v>
      </c>
      <c r="S18" s="44">
        <v>195000</v>
      </c>
      <c r="T18" s="7">
        <v>1600</v>
      </c>
      <c r="U18" s="1">
        <v>3200</v>
      </c>
      <c r="V18" s="9">
        <v>4800</v>
      </c>
      <c r="W18" s="10">
        <v>7200</v>
      </c>
      <c r="X18" s="44">
        <v>20000</v>
      </c>
      <c r="Y18" s="47">
        <v>18</v>
      </c>
      <c r="AA18" s="63">
        <v>12</v>
      </c>
      <c r="AB18" s="1">
        <v>8400</v>
      </c>
      <c r="AC18" s="8">
        <v>32</v>
      </c>
      <c r="AF18" s="45">
        <v>15</v>
      </c>
      <c r="AG18" s="57">
        <v>5</v>
      </c>
      <c r="AH18" s="2">
        <f t="shared" si="7"/>
        <v>4.666666666666667</v>
      </c>
      <c r="AI18" s="2">
        <f t="shared" si="8"/>
        <v>4.333333333333333</v>
      </c>
      <c r="AJ18" s="16">
        <v>4</v>
      </c>
      <c r="AK18" s="2">
        <f t="shared" si="5"/>
        <v>3.6666666666666665</v>
      </c>
      <c r="AL18" s="2">
        <f t="shared" si="6"/>
        <v>3.3333333333333335</v>
      </c>
      <c r="AM18" s="16">
        <v>3</v>
      </c>
      <c r="AN18" s="17">
        <f t="shared" si="9"/>
        <v>2.6666666666666665</v>
      </c>
    </row>
    <row r="19" spans="1:40" ht="15.75" thickBot="1" x14ac:dyDescent="0.3">
      <c r="A19" s="7">
        <v>4</v>
      </c>
      <c r="B19" s="1"/>
      <c r="C19" s="1"/>
      <c r="D19" s="3">
        <f ca="1">IFERROR(INDEX(MonsterList!$C$3:$C$1000,MATCH(EncCalc!B19,MonsterList!$B$3:$B$1000,0),1),0)</f>
        <v>0</v>
      </c>
      <c r="E19" s="65">
        <f t="shared" ca="1" si="24"/>
        <v>0</v>
      </c>
      <c r="F19" s="197" t="s">
        <v>865</v>
      </c>
      <c r="G19" s="198"/>
      <c r="H19" s="198" t="str">
        <f ca="1">IF(H18&lt;$D$12,"Easy",IF(H18&lt;$E$12,"Medium",IF(H18&lt;$F$12,"Hard",IF(H18&lt;$G$12,"Deadly","TPK"))))</f>
        <v>Medium</v>
      </c>
      <c r="I19" s="289"/>
      <c r="R19" s="40">
        <v>17</v>
      </c>
      <c r="S19" s="44">
        <v>225000</v>
      </c>
      <c r="T19" s="7">
        <v>2000</v>
      </c>
      <c r="U19" s="1">
        <v>3900</v>
      </c>
      <c r="V19" s="9">
        <v>5900</v>
      </c>
      <c r="W19" s="10">
        <v>8800</v>
      </c>
      <c r="X19" s="44">
        <v>25000</v>
      </c>
      <c r="Y19" s="47">
        <v>20</v>
      </c>
      <c r="AA19" s="63">
        <v>13</v>
      </c>
      <c r="AB19" s="1">
        <v>10000</v>
      </c>
      <c r="AC19" s="8">
        <v>36</v>
      </c>
    </row>
    <row r="20" spans="1:40" x14ac:dyDescent="0.25">
      <c r="A20" s="7">
        <v>5</v>
      </c>
      <c r="B20" s="1"/>
      <c r="C20" s="1"/>
      <c r="D20" s="1"/>
      <c r="E20" s="65">
        <f t="shared" si="24"/>
        <v>0</v>
      </c>
      <c r="F20" s="282" t="s">
        <v>868</v>
      </c>
      <c r="G20" s="283"/>
      <c r="H20" s="206">
        <f ca="1">H15/$J$2/PartyPower</f>
        <v>55</v>
      </c>
      <c r="I20" s="204"/>
      <c r="R20" s="40">
        <v>18</v>
      </c>
      <c r="S20" s="44">
        <v>265000</v>
      </c>
      <c r="T20" s="7">
        <v>2100</v>
      </c>
      <c r="U20" s="9">
        <v>4200</v>
      </c>
      <c r="V20" s="9">
        <v>6300</v>
      </c>
      <c r="W20" s="10">
        <v>9500</v>
      </c>
      <c r="X20" s="44">
        <v>27000</v>
      </c>
      <c r="Y20" s="48">
        <v>22</v>
      </c>
      <c r="AA20" s="63">
        <v>14</v>
      </c>
      <c r="AB20" s="1">
        <v>11500</v>
      </c>
      <c r="AC20" s="8">
        <v>40</v>
      </c>
    </row>
    <row r="21" spans="1:40" x14ac:dyDescent="0.25">
      <c r="A21" s="7">
        <v>6</v>
      </c>
      <c r="B21" s="1"/>
      <c r="C21" s="1"/>
      <c r="D21" s="1"/>
      <c r="E21" s="65">
        <f t="shared" si="24"/>
        <v>0</v>
      </c>
      <c r="F21" s="199" t="s">
        <v>869</v>
      </c>
      <c r="G21" s="186"/>
      <c r="H21" s="186" t="s">
        <v>44</v>
      </c>
      <c r="I21" s="192"/>
      <c r="R21" s="40">
        <v>19</v>
      </c>
      <c r="S21" s="44">
        <v>305000</v>
      </c>
      <c r="T21" s="7">
        <v>2400</v>
      </c>
      <c r="U21" s="9">
        <v>4900</v>
      </c>
      <c r="V21" s="9">
        <v>7300</v>
      </c>
      <c r="W21" s="10">
        <v>10900</v>
      </c>
      <c r="X21" s="44">
        <v>30000</v>
      </c>
      <c r="Y21" s="48">
        <v>24</v>
      </c>
      <c r="AA21" s="63">
        <v>15</v>
      </c>
      <c r="AB21" s="1">
        <v>13000</v>
      </c>
      <c r="AC21" s="8">
        <v>44</v>
      </c>
    </row>
    <row r="22" spans="1:40" ht="15.75" thickBot="1" x14ac:dyDescent="0.3">
      <c r="A22" s="7">
        <v>7</v>
      </c>
      <c r="B22" s="1"/>
      <c r="C22" s="1"/>
      <c r="D22" s="1"/>
      <c r="E22" s="65">
        <f t="shared" si="24"/>
        <v>0</v>
      </c>
      <c r="F22" s="199" t="s">
        <v>871</v>
      </c>
      <c r="G22" s="186"/>
      <c r="H22" s="293">
        <f ca="1">H18*(IF(H21="yes",0,1))</f>
        <v>0</v>
      </c>
      <c r="I22" s="294"/>
      <c r="R22" s="41">
        <v>20</v>
      </c>
      <c r="S22" s="45">
        <v>355000</v>
      </c>
      <c r="T22" s="11">
        <v>2800</v>
      </c>
      <c r="U22" s="12">
        <v>5700</v>
      </c>
      <c r="V22" s="12">
        <v>8500</v>
      </c>
      <c r="W22" s="13">
        <v>12700</v>
      </c>
      <c r="X22" s="45">
        <v>40000</v>
      </c>
      <c r="Y22" s="49">
        <v>26</v>
      </c>
      <c r="AA22" s="63">
        <v>16</v>
      </c>
      <c r="AB22" s="1">
        <v>15000</v>
      </c>
      <c r="AC22" s="8">
        <v>48</v>
      </c>
    </row>
    <row r="23" spans="1:40" x14ac:dyDescent="0.25">
      <c r="A23" s="7">
        <v>8</v>
      </c>
      <c r="B23" s="1"/>
      <c r="C23" s="1"/>
      <c r="D23" s="1"/>
      <c r="E23" s="65">
        <f t="shared" si="24"/>
        <v>0</v>
      </c>
      <c r="F23" s="199" t="s">
        <v>876</v>
      </c>
      <c r="G23" s="186"/>
      <c r="H23" s="276">
        <f ca="1">RecommendedBudgetSR-H22</f>
        <v>2166.6666666666665</v>
      </c>
      <c r="I23" s="192"/>
      <c r="AA23" s="63">
        <v>17</v>
      </c>
      <c r="AB23" s="1">
        <v>18000</v>
      </c>
      <c r="AC23" s="8">
        <v>52</v>
      </c>
    </row>
    <row r="24" spans="1:40" ht="15.75" thickBot="1" x14ac:dyDescent="0.3">
      <c r="A24" s="7">
        <v>9</v>
      </c>
      <c r="B24" s="1"/>
      <c r="C24" s="1"/>
      <c r="D24" s="1"/>
      <c r="E24" s="65">
        <f t="shared" si="24"/>
        <v>0</v>
      </c>
      <c r="F24" s="193" t="s">
        <v>877</v>
      </c>
      <c r="G24" s="194"/>
      <c r="H24" s="290">
        <f ca="1">PartyCPDay-H18</f>
        <v>5755.208333333333</v>
      </c>
      <c r="I24" s="195"/>
      <c r="AA24" s="63">
        <v>18</v>
      </c>
      <c r="AB24" s="1">
        <v>20000</v>
      </c>
      <c r="AC24" s="8">
        <v>56</v>
      </c>
      <c r="AG24">
        <v>1</v>
      </c>
      <c r="AH24">
        <v>1</v>
      </c>
    </row>
    <row r="25" spans="1:40" x14ac:dyDescent="0.25">
      <c r="A25" s="7">
        <v>10</v>
      </c>
      <c r="B25" s="1"/>
      <c r="C25" s="1"/>
      <c r="D25" s="1"/>
      <c r="E25" s="65">
        <f t="shared" si="24"/>
        <v>0</v>
      </c>
      <c r="F25" s="20"/>
      <c r="G25" s="21"/>
      <c r="H25" s="21"/>
      <c r="I25" s="22"/>
      <c r="AA25" s="63">
        <v>19</v>
      </c>
      <c r="AB25" s="1">
        <v>22000</v>
      </c>
      <c r="AC25" s="8">
        <v>60</v>
      </c>
      <c r="AG25">
        <v>2</v>
      </c>
      <c r="AH25">
        <v>1.5</v>
      </c>
    </row>
    <row r="26" spans="1:40" x14ac:dyDescent="0.25">
      <c r="A26" s="7">
        <v>11</v>
      </c>
      <c r="B26" s="1"/>
      <c r="C26" s="1"/>
      <c r="D26" s="1"/>
      <c r="E26" s="65">
        <f t="shared" si="24"/>
        <v>0</v>
      </c>
      <c r="F26" s="20"/>
      <c r="G26" s="21"/>
      <c r="H26" s="21"/>
      <c r="I26" s="22"/>
      <c r="AA26" s="63">
        <v>20</v>
      </c>
      <c r="AB26" s="1">
        <v>25000</v>
      </c>
      <c r="AC26" s="8">
        <v>64</v>
      </c>
      <c r="AG26" t="s">
        <v>853</v>
      </c>
      <c r="AH26">
        <v>2</v>
      </c>
    </row>
    <row r="27" spans="1:40" x14ac:dyDescent="0.25">
      <c r="A27" s="7">
        <v>12</v>
      </c>
      <c r="B27" s="1"/>
      <c r="C27" s="1"/>
      <c r="D27" s="1"/>
      <c r="E27" s="65">
        <f t="shared" si="24"/>
        <v>0</v>
      </c>
      <c r="F27" s="20"/>
      <c r="G27" s="21"/>
      <c r="H27" s="21"/>
      <c r="I27" s="22"/>
      <c r="AA27" s="63">
        <v>21</v>
      </c>
      <c r="AB27" s="1">
        <v>33000</v>
      </c>
      <c r="AC27" s="8">
        <v>76</v>
      </c>
      <c r="AG27" t="s">
        <v>852</v>
      </c>
      <c r="AH27">
        <v>2.5</v>
      </c>
    </row>
    <row r="28" spans="1:40" x14ac:dyDescent="0.25">
      <c r="A28" s="7">
        <v>13</v>
      </c>
      <c r="B28" s="1"/>
      <c r="C28" s="1"/>
      <c r="D28" s="1"/>
      <c r="E28" s="65">
        <f t="shared" si="24"/>
        <v>0</v>
      </c>
      <c r="F28" s="20"/>
      <c r="G28" s="21"/>
      <c r="H28" s="21"/>
      <c r="I28" s="22"/>
      <c r="AA28" s="63">
        <v>22</v>
      </c>
      <c r="AB28" s="1">
        <v>41000</v>
      </c>
      <c r="AC28" s="8">
        <v>88</v>
      </c>
      <c r="AG28" s="38" t="s">
        <v>851</v>
      </c>
      <c r="AH28">
        <v>3</v>
      </c>
    </row>
    <row r="29" spans="1:40" x14ac:dyDescent="0.25">
      <c r="A29" s="7">
        <v>14</v>
      </c>
      <c r="B29" s="1"/>
      <c r="C29" s="1"/>
      <c r="D29" s="1"/>
      <c r="E29" s="65">
        <f t="shared" si="24"/>
        <v>0</v>
      </c>
      <c r="F29" s="20"/>
      <c r="G29" s="21"/>
      <c r="H29" s="21"/>
      <c r="I29" s="22"/>
      <c r="AA29" s="63">
        <v>23</v>
      </c>
      <c r="AB29" s="1">
        <v>50000</v>
      </c>
      <c r="AC29" s="8">
        <v>104</v>
      </c>
      <c r="AG29" t="s">
        <v>850</v>
      </c>
      <c r="AH29">
        <v>4</v>
      </c>
    </row>
    <row r="30" spans="1:40" x14ac:dyDescent="0.25">
      <c r="A30" s="7">
        <v>15</v>
      </c>
      <c r="B30" s="1"/>
      <c r="C30" s="1"/>
      <c r="D30" s="1"/>
      <c r="E30" s="65">
        <f t="shared" si="24"/>
        <v>0</v>
      </c>
      <c r="F30" s="20"/>
      <c r="G30" s="21"/>
      <c r="H30" s="21"/>
      <c r="I30" s="22"/>
      <c r="AA30" s="63">
        <v>24</v>
      </c>
      <c r="AB30" s="1">
        <v>62000</v>
      </c>
      <c r="AC30" s="8">
        <v>120</v>
      </c>
    </row>
    <row r="31" spans="1:40" x14ac:dyDescent="0.25">
      <c r="A31" s="7">
        <v>16</v>
      </c>
      <c r="B31" s="1"/>
      <c r="C31" s="1"/>
      <c r="D31" s="1"/>
      <c r="E31" s="65">
        <f t="shared" si="24"/>
        <v>0</v>
      </c>
      <c r="F31" s="20"/>
      <c r="G31" s="21"/>
      <c r="H31" s="21"/>
      <c r="I31" s="22"/>
      <c r="AA31" s="63">
        <v>25</v>
      </c>
      <c r="AB31" s="1">
        <v>75000</v>
      </c>
      <c r="AC31" s="8">
        <v>136</v>
      </c>
    </row>
    <row r="32" spans="1:40" x14ac:dyDescent="0.25">
      <c r="A32" s="7">
        <v>17</v>
      </c>
      <c r="B32" s="1"/>
      <c r="C32" s="1"/>
      <c r="D32" s="1"/>
      <c r="E32" s="65">
        <f t="shared" si="24"/>
        <v>0</v>
      </c>
      <c r="F32" s="20"/>
      <c r="G32" s="21"/>
      <c r="H32" s="21"/>
      <c r="I32" s="22"/>
      <c r="AA32" s="63">
        <v>26</v>
      </c>
      <c r="AB32" s="1">
        <v>90000</v>
      </c>
      <c r="AC32" s="8">
        <v>152</v>
      </c>
    </row>
    <row r="33" spans="1:29" x14ac:dyDescent="0.25">
      <c r="A33" s="7">
        <v>18</v>
      </c>
      <c r="B33" s="1"/>
      <c r="C33" s="1"/>
      <c r="D33" s="1"/>
      <c r="E33" s="65">
        <f t="shared" si="24"/>
        <v>0</v>
      </c>
      <c r="F33" s="20"/>
      <c r="G33" s="21"/>
      <c r="H33" s="21"/>
      <c r="I33" s="22"/>
      <c r="AA33" s="63">
        <v>27</v>
      </c>
      <c r="AB33" s="1">
        <v>105000</v>
      </c>
      <c r="AC33" s="8">
        <v>168</v>
      </c>
    </row>
    <row r="34" spans="1:29" x14ac:dyDescent="0.25">
      <c r="A34" s="7">
        <v>19</v>
      </c>
      <c r="B34" s="1"/>
      <c r="C34" s="1"/>
      <c r="D34" s="1"/>
      <c r="E34" s="65">
        <f t="shared" si="24"/>
        <v>0</v>
      </c>
      <c r="F34" s="20"/>
      <c r="G34" s="21"/>
      <c r="H34" s="21"/>
      <c r="I34" s="22"/>
      <c r="AA34" s="63">
        <v>28</v>
      </c>
      <c r="AB34" s="1">
        <v>120000</v>
      </c>
      <c r="AC34" s="8">
        <v>184</v>
      </c>
    </row>
    <row r="35" spans="1:29" ht="15.75" thickBot="1" x14ac:dyDescent="0.3">
      <c r="A35" s="11">
        <v>20</v>
      </c>
      <c r="B35" s="2"/>
      <c r="C35" s="2"/>
      <c r="D35" s="2"/>
      <c r="E35" s="77">
        <f t="shared" si="24"/>
        <v>0</v>
      </c>
      <c r="F35" s="23"/>
      <c r="G35" s="24"/>
      <c r="H35" s="24"/>
      <c r="I35" s="25"/>
      <c r="AA35" s="64">
        <v>29</v>
      </c>
      <c r="AB35" s="2">
        <v>135000</v>
      </c>
      <c r="AC35" s="17">
        <v>200</v>
      </c>
    </row>
    <row r="36" spans="1:29" ht="15.75" thickBot="1" x14ac:dyDescent="0.3">
      <c r="A36" s="286" t="s">
        <v>873</v>
      </c>
      <c r="B36" s="287"/>
      <c r="C36" s="286" t="s">
        <v>1163</v>
      </c>
      <c r="D36" s="287"/>
      <c r="E36" s="287"/>
      <c r="F36" s="287"/>
      <c r="G36" s="287"/>
      <c r="H36" s="287"/>
      <c r="I36" s="288"/>
    </row>
    <row r="37" spans="1:29" ht="15.75" thickBot="1" x14ac:dyDescent="0.3">
      <c r="A37" s="76" t="s">
        <v>16</v>
      </c>
      <c r="B37" s="59" t="s">
        <v>23</v>
      </c>
      <c r="C37" s="59" t="s">
        <v>24</v>
      </c>
      <c r="D37" s="59" t="s">
        <v>11</v>
      </c>
      <c r="E37" s="60" t="s">
        <v>1</v>
      </c>
      <c r="F37" s="282" t="s">
        <v>867</v>
      </c>
      <c r="G37" s="283"/>
      <c r="H37" s="206">
        <f ca="1">SUMPRODUCT(C38:C57,E38:E57)</f>
        <v>650</v>
      </c>
      <c r="I37" s="204"/>
    </row>
    <row r="38" spans="1:29" x14ac:dyDescent="0.25">
      <c r="A38" s="74">
        <v>1</v>
      </c>
      <c r="B38" s="1" t="str">
        <f ca="1">MonsterList!B7</f>
        <v>Guard</v>
      </c>
      <c r="C38" s="3">
        <v>2</v>
      </c>
      <c r="D38" s="3">
        <f ca="1">IFERROR(INDEX(MonsterList!$C$3:$C$1000,MATCH(EncCalc!B38,MonsterList!$B$3:$B$1000,0),1),0)</f>
        <v>0.125</v>
      </c>
      <c r="E38" s="66">
        <f ca="1">200*D38</f>
        <v>25</v>
      </c>
      <c r="F38" s="284" t="s">
        <v>860</v>
      </c>
      <c r="G38" s="285"/>
      <c r="H38" s="186">
        <f>SUM(C38:C57)</f>
        <v>8</v>
      </c>
      <c r="I38" s="192"/>
      <c r="J38">
        <f>ROW(B38)</f>
        <v>38</v>
      </c>
      <c r="K38">
        <f>J38-J16</f>
        <v>22</v>
      </c>
    </row>
    <row r="39" spans="1:29" x14ac:dyDescent="0.25">
      <c r="A39" s="7">
        <v>2</v>
      </c>
      <c r="B39" s="1" t="str">
        <f ca="1">MonsterList!B13</f>
        <v>DragonClaw</v>
      </c>
      <c r="C39" s="1">
        <v>2</v>
      </c>
      <c r="D39" s="3">
        <f ca="1">IFERROR(INDEX(MonsterList!$C$3:$C$1000,MATCH(EncCalc!B39,MonsterList!$B$3:$B$1000,0),1),0)</f>
        <v>1</v>
      </c>
      <c r="E39" s="65">
        <f t="shared" ref="E39:E57" ca="1" si="28">200*D39</f>
        <v>200</v>
      </c>
      <c r="F39" s="284" t="s">
        <v>861</v>
      </c>
      <c r="G39" s="285"/>
      <c r="H39" s="186">
        <f>IFERROR(INDEX($AG$4:$AN$18,MATCH(H38,$AF$4:$AF$18,0),MATCH(NumberOfCharacters,$AG$3:$AN$3,0)),0)</f>
        <v>2.4583333333333335</v>
      </c>
      <c r="I39" s="192"/>
    </row>
    <row r="40" spans="1:29" x14ac:dyDescent="0.25">
      <c r="A40" s="7">
        <v>3</v>
      </c>
      <c r="B40" s="1" t="str">
        <f ca="1">MonsterList!B3</f>
        <v>Acolyte</v>
      </c>
      <c r="C40" s="1">
        <v>4</v>
      </c>
      <c r="D40" s="3">
        <f ca="1">IFERROR(INDEX(MonsterList!$C$3:$C$1000,MATCH(EncCalc!B40,MonsterList!$B$3:$B$1000,0),1),0)</f>
        <v>0.25</v>
      </c>
      <c r="E40" s="65">
        <f t="shared" ca="1" si="28"/>
        <v>50</v>
      </c>
      <c r="F40" s="199" t="s">
        <v>859</v>
      </c>
      <c r="G40" s="186"/>
      <c r="H40" s="186">
        <f ca="1">H39*H37/PartyPower</f>
        <v>798.95833333333337</v>
      </c>
      <c r="I40" s="192"/>
    </row>
    <row r="41" spans="1:29" ht="15.75" thickBot="1" x14ac:dyDescent="0.3">
      <c r="A41" s="7">
        <v>4</v>
      </c>
      <c r="B41" s="1"/>
      <c r="C41" s="1"/>
      <c r="D41" s="3">
        <f ca="1">IFERROR(INDEX(MonsterList!$C$3:$C$1000,MATCH(EncCalc!B41,MonsterList!$B$3:$B$1000,0),1),0)</f>
        <v>0</v>
      </c>
      <c r="E41" s="65">
        <f t="shared" ca="1" si="28"/>
        <v>0</v>
      </c>
      <c r="F41" s="199" t="s">
        <v>865</v>
      </c>
      <c r="G41" s="186"/>
      <c r="H41" s="186" t="str">
        <f ca="1">IF(H40&lt;$D$12,"Easy",IF(H40&lt;$E$12,"Medium",IF(H40&lt;$F$12,"Hard",IF(H40&lt;$G$12,"Deadly","TPK"))))</f>
        <v>Medium</v>
      </c>
      <c r="I41" s="192"/>
    </row>
    <row r="42" spans="1:29" x14ac:dyDescent="0.25">
      <c r="A42" s="7">
        <v>5</v>
      </c>
      <c r="B42" s="1"/>
      <c r="C42" s="1"/>
      <c r="D42" s="1"/>
      <c r="E42" s="65">
        <f t="shared" si="28"/>
        <v>0</v>
      </c>
      <c r="F42" s="282" t="s">
        <v>868</v>
      </c>
      <c r="G42" s="283"/>
      <c r="H42" s="206">
        <f ca="1">H37/$J$2/PartyPower</f>
        <v>65</v>
      </c>
      <c r="I42" s="204"/>
    </row>
    <row r="43" spans="1:29" x14ac:dyDescent="0.25">
      <c r="A43" s="7">
        <v>6</v>
      </c>
      <c r="B43" s="1"/>
      <c r="C43" s="1"/>
      <c r="D43" s="1"/>
      <c r="E43" s="65">
        <f t="shared" si="28"/>
        <v>0</v>
      </c>
      <c r="F43" s="277" t="s">
        <v>869</v>
      </c>
      <c r="G43" s="278"/>
      <c r="H43" s="278" t="s">
        <v>44</v>
      </c>
      <c r="I43" s="279"/>
    </row>
    <row r="44" spans="1:29" x14ac:dyDescent="0.25">
      <c r="A44" s="7">
        <v>7</v>
      </c>
      <c r="B44" s="1"/>
      <c r="C44" s="1"/>
      <c r="D44" s="1"/>
      <c r="E44" s="65">
        <f t="shared" si="28"/>
        <v>0</v>
      </c>
      <c r="F44" s="277" t="s">
        <v>871</v>
      </c>
      <c r="G44" s="278"/>
      <c r="H44" s="280">
        <f ca="1">(H40+H22)*(IF(H43="yes",0,1))+H22</f>
        <v>0</v>
      </c>
      <c r="I44" s="281"/>
    </row>
    <row r="45" spans="1:29" x14ac:dyDescent="0.25">
      <c r="A45" s="7">
        <v>8</v>
      </c>
      <c r="B45" s="1"/>
      <c r="C45" s="1"/>
      <c r="D45" s="1"/>
      <c r="E45" s="65">
        <f t="shared" si="28"/>
        <v>0</v>
      </c>
      <c r="F45" s="199" t="s">
        <v>866</v>
      </c>
      <c r="G45" s="186"/>
      <c r="H45" s="276">
        <f ca="1">RecommendedBudgetSR-H44</f>
        <v>2166.6666666666665</v>
      </c>
      <c r="I45" s="192"/>
    </row>
    <row r="46" spans="1:29" x14ac:dyDescent="0.25">
      <c r="A46" s="7">
        <v>9</v>
      </c>
      <c r="B46" s="1"/>
      <c r="C46" s="1"/>
      <c r="D46" s="1"/>
      <c r="E46" s="65">
        <f t="shared" si="28"/>
        <v>0</v>
      </c>
      <c r="F46" s="199" t="s">
        <v>877</v>
      </c>
      <c r="G46" s="186"/>
      <c r="H46" s="276">
        <f ca="1">H24-H40</f>
        <v>4956.25</v>
      </c>
      <c r="I46" s="192"/>
    </row>
    <row r="47" spans="1:29" x14ac:dyDescent="0.25">
      <c r="A47" s="7">
        <v>10</v>
      </c>
      <c r="B47" s="1"/>
      <c r="C47" s="1"/>
      <c r="D47" s="1"/>
      <c r="E47" s="65">
        <f t="shared" si="28"/>
        <v>0</v>
      </c>
      <c r="F47" s="20"/>
      <c r="G47" s="21"/>
      <c r="H47" s="21"/>
      <c r="I47" s="22"/>
    </row>
    <row r="48" spans="1:29" x14ac:dyDescent="0.25">
      <c r="A48" s="7">
        <v>11</v>
      </c>
      <c r="B48" s="1"/>
      <c r="C48" s="1"/>
      <c r="D48" s="1"/>
      <c r="E48" s="65">
        <f t="shared" si="28"/>
        <v>0</v>
      </c>
      <c r="F48" s="20"/>
      <c r="G48" s="21"/>
      <c r="H48" s="21"/>
      <c r="I48" s="22"/>
    </row>
    <row r="49" spans="1:9" x14ac:dyDescent="0.25">
      <c r="A49" s="7">
        <v>12</v>
      </c>
      <c r="B49" s="1"/>
      <c r="C49" s="1"/>
      <c r="D49" s="1"/>
      <c r="E49" s="65">
        <f t="shared" si="28"/>
        <v>0</v>
      </c>
      <c r="F49" s="20"/>
      <c r="G49" s="21"/>
      <c r="H49" s="21"/>
      <c r="I49" s="22"/>
    </row>
    <row r="50" spans="1:9" x14ac:dyDescent="0.25">
      <c r="A50" s="7">
        <v>13</v>
      </c>
      <c r="B50" s="1"/>
      <c r="C50" s="1"/>
      <c r="D50" s="1"/>
      <c r="E50" s="65">
        <f t="shared" si="28"/>
        <v>0</v>
      </c>
      <c r="F50" s="20"/>
      <c r="G50" s="21"/>
      <c r="H50" s="21"/>
      <c r="I50" s="22"/>
    </row>
    <row r="51" spans="1:9" x14ac:dyDescent="0.25">
      <c r="A51" s="7">
        <v>14</v>
      </c>
      <c r="B51" s="1"/>
      <c r="C51" s="1"/>
      <c r="D51" s="1"/>
      <c r="E51" s="65">
        <f t="shared" si="28"/>
        <v>0</v>
      </c>
      <c r="F51" s="20"/>
      <c r="G51" s="21"/>
      <c r="H51" s="21"/>
      <c r="I51" s="22"/>
    </row>
    <row r="52" spans="1:9" x14ac:dyDescent="0.25">
      <c r="A52" s="7">
        <v>15</v>
      </c>
      <c r="B52" s="1"/>
      <c r="C52" s="1"/>
      <c r="D52" s="1"/>
      <c r="E52" s="65">
        <f t="shared" si="28"/>
        <v>0</v>
      </c>
      <c r="F52" s="20"/>
      <c r="G52" s="21"/>
      <c r="H52" s="21"/>
      <c r="I52" s="22"/>
    </row>
    <row r="53" spans="1:9" x14ac:dyDescent="0.25">
      <c r="A53" s="7">
        <v>16</v>
      </c>
      <c r="B53" s="1"/>
      <c r="C53" s="1"/>
      <c r="D53" s="1"/>
      <c r="E53" s="65">
        <f t="shared" si="28"/>
        <v>0</v>
      </c>
      <c r="F53" s="20"/>
      <c r="G53" s="21"/>
      <c r="H53" s="21"/>
      <c r="I53" s="22"/>
    </row>
    <row r="54" spans="1:9" x14ac:dyDescent="0.25">
      <c r="A54" s="7">
        <v>17</v>
      </c>
      <c r="B54" s="1"/>
      <c r="C54" s="1"/>
      <c r="D54" s="1"/>
      <c r="E54" s="65">
        <f t="shared" si="28"/>
        <v>0</v>
      </c>
      <c r="F54" s="20"/>
      <c r="G54" s="21"/>
      <c r="H54" s="21"/>
      <c r="I54" s="22"/>
    </row>
    <row r="55" spans="1:9" x14ac:dyDescent="0.25">
      <c r="A55" s="7">
        <v>18</v>
      </c>
      <c r="B55" s="1"/>
      <c r="C55" s="1"/>
      <c r="D55" s="1"/>
      <c r="E55" s="65">
        <f t="shared" si="28"/>
        <v>0</v>
      </c>
      <c r="F55" s="20"/>
      <c r="G55" s="21"/>
      <c r="H55" s="21"/>
      <c r="I55" s="22"/>
    </row>
    <row r="56" spans="1:9" x14ac:dyDescent="0.25">
      <c r="A56" s="7">
        <v>19</v>
      </c>
      <c r="B56" s="1"/>
      <c r="C56" s="1"/>
      <c r="D56" s="1"/>
      <c r="E56" s="65">
        <f t="shared" si="28"/>
        <v>0</v>
      </c>
      <c r="F56" s="20"/>
      <c r="G56" s="21"/>
      <c r="H56" s="21"/>
      <c r="I56" s="22"/>
    </row>
    <row r="57" spans="1:9" ht="15.75" thickBot="1" x14ac:dyDescent="0.3">
      <c r="A57" s="11">
        <v>20</v>
      </c>
      <c r="B57" s="2"/>
      <c r="C57" s="2"/>
      <c r="D57" s="2"/>
      <c r="E57" s="77">
        <f t="shared" si="28"/>
        <v>0</v>
      </c>
      <c r="F57" s="23"/>
      <c r="G57" s="24"/>
      <c r="H57" s="24"/>
      <c r="I57" s="25"/>
    </row>
    <row r="58" spans="1:9" ht="15.75" thickBot="1" x14ac:dyDescent="0.3">
      <c r="A58" s="286" t="s">
        <v>874</v>
      </c>
      <c r="B58" s="287"/>
      <c r="C58" s="286" t="s">
        <v>9</v>
      </c>
      <c r="D58" s="287"/>
      <c r="E58" s="287"/>
      <c r="F58" s="287"/>
      <c r="G58" s="287"/>
      <c r="H58" s="287"/>
      <c r="I58" s="288"/>
    </row>
    <row r="59" spans="1:9" ht="15.75" thickBot="1" x14ac:dyDescent="0.3">
      <c r="A59" s="76" t="s">
        <v>16</v>
      </c>
      <c r="B59" s="59" t="s">
        <v>23</v>
      </c>
      <c r="C59" s="59" t="s">
        <v>24</v>
      </c>
      <c r="D59" s="59" t="s">
        <v>11</v>
      </c>
      <c r="E59" s="60" t="s">
        <v>1</v>
      </c>
      <c r="F59" s="282" t="s">
        <v>867</v>
      </c>
      <c r="G59" s="283"/>
      <c r="H59" s="206">
        <f ca="1">SUMPRODUCT(C60:C79,E60:E79)</f>
        <v>1200</v>
      </c>
      <c r="I59" s="204"/>
    </row>
    <row r="60" spans="1:9" x14ac:dyDescent="0.25">
      <c r="A60" s="74">
        <v>1</v>
      </c>
      <c r="B60" s="1" t="str">
        <f ca="1">MonsterList!B14</f>
        <v>DragonWing</v>
      </c>
      <c r="C60" s="3">
        <v>2</v>
      </c>
      <c r="D60" s="3">
        <f ca="1">IFERROR(INDEX(MonsterList!$C$3:$C$1000,MATCH(EncCalc!B60,MonsterList!$B$3:$B$1000,0),1),0)</f>
        <v>2</v>
      </c>
      <c r="E60" s="66">
        <f ca="1">200*D60</f>
        <v>400</v>
      </c>
      <c r="F60" s="284" t="s">
        <v>860</v>
      </c>
      <c r="G60" s="285"/>
      <c r="H60" s="186">
        <f>SUM(C60:C79)</f>
        <v>4</v>
      </c>
      <c r="I60" s="192"/>
    </row>
    <row r="61" spans="1:9" x14ac:dyDescent="0.25">
      <c r="A61" s="7">
        <v>2</v>
      </c>
      <c r="B61" s="1" t="str">
        <f ca="1">MonsterList!B13</f>
        <v>DragonClaw</v>
      </c>
      <c r="C61" s="1">
        <v>2</v>
      </c>
      <c r="D61" s="3">
        <f ca="1">IFERROR(INDEX(MonsterList!$C$3:$C$1000,MATCH(EncCalc!B61,MonsterList!$B$3:$B$1000,0),1),0)</f>
        <v>1</v>
      </c>
      <c r="E61" s="65">
        <f t="shared" ref="E61:E79" ca="1" si="29">200*D61</f>
        <v>200</v>
      </c>
      <c r="F61" s="284" t="s">
        <v>861</v>
      </c>
      <c r="G61" s="285"/>
      <c r="H61" s="186">
        <f>IFERROR(INDEX($AG$4:$AN$18,MATCH(H60,$AF$4:$AF$18,0),MATCH(NumberOfCharacters,$AG$3:$AN$3,0)),0)</f>
        <v>1.9583333333333333</v>
      </c>
      <c r="I61" s="192"/>
    </row>
    <row r="62" spans="1:9" x14ac:dyDescent="0.25">
      <c r="A62" s="7">
        <v>3</v>
      </c>
      <c r="B62" s="1"/>
      <c r="C62" s="1"/>
      <c r="D62" s="3">
        <f ca="1">IFERROR(INDEX(MonsterList!$C$3:$C$1000,MATCH(EncCalc!B62,MonsterList!$B$3:$B$1000,0),1),0)</f>
        <v>0</v>
      </c>
      <c r="E62" s="65">
        <f t="shared" ca="1" si="29"/>
        <v>0</v>
      </c>
      <c r="F62" s="199" t="s">
        <v>859</v>
      </c>
      <c r="G62" s="186"/>
      <c r="H62" s="186">
        <f ca="1">H61*H59/PartyPower</f>
        <v>1175</v>
      </c>
      <c r="I62" s="192"/>
    </row>
    <row r="63" spans="1:9" ht="15.75" thickBot="1" x14ac:dyDescent="0.3">
      <c r="A63" s="7">
        <v>4</v>
      </c>
      <c r="B63" s="1"/>
      <c r="C63" s="1"/>
      <c r="D63" s="3">
        <f ca="1">IFERROR(INDEX(MonsterList!$C$3:$C$1000,MATCH(EncCalc!B63,MonsterList!$B$3:$B$1000,0),1),0)</f>
        <v>0</v>
      </c>
      <c r="E63" s="65">
        <f t="shared" ca="1" si="29"/>
        <v>0</v>
      </c>
      <c r="F63" s="199" t="s">
        <v>865</v>
      </c>
      <c r="G63" s="186"/>
      <c r="H63" s="186" t="str">
        <f ca="1">IF(H62&lt;$D$12,"Easy",IF(H62&lt;$E$12,"Medium",IF(H62&lt;$F$12,"Hard",IF(H62&lt;$G$12,"Deadly","TPK"))))</f>
        <v>Hard</v>
      </c>
      <c r="I63" s="192"/>
    </row>
    <row r="64" spans="1:9" x14ac:dyDescent="0.25">
      <c r="A64" s="7">
        <v>5</v>
      </c>
      <c r="B64" s="1"/>
      <c r="C64" s="1"/>
      <c r="D64" s="1"/>
      <c r="E64" s="65">
        <f t="shared" si="29"/>
        <v>0</v>
      </c>
      <c r="F64" s="282" t="s">
        <v>868</v>
      </c>
      <c r="G64" s="283"/>
      <c r="H64" s="206">
        <f ca="1">H59/$J$2/PartyPower</f>
        <v>120</v>
      </c>
      <c r="I64" s="204"/>
    </row>
    <row r="65" spans="1:9" x14ac:dyDescent="0.25">
      <c r="A65" s="7">
        <v>6</v>
      </c>
      <c r="B65" s="1"/>
      <c r="C65" s="1"/>
      <c r="D65" s="1"/>
      <c r="E65" s="65">
        <f t="shared" si="29"/>
        <v>0</v>
      </c>
      <c r="F65" s="277" t="s">
        <v>869</v>
      </c>
      <c r="G65" s="278"/>
      <c r="H65" s="278" t="s">
        <v>43</v>
      </c>
      <c r="I65" s="279"/>
    </row>
    <row r="66" spans="1:9" x14ac:dyDescent="0.25">
      <c r="A66" s="7">
        <v>7</v>
      </c>
      <c r="B66" s="1"/>
      <c r="C66" s="1"/>
      <c r="D66" s="1"/>
      <c r="E66" s="65">
        <f t="shared" si="29"/>
        <v>0</v>
      </c>
      <c r="F66" s="277" t="s">
        <v>871</v>
      </c>
      <c r="G66" s="278"/>
      <c r="H66" s="280">
        <f ca="1">(H62+H44)*(IF(H65="yes",0,1))+H44</f>
        <v>1175</v>
      </c>
      <c r="I66" s="281"/>
    </row>
    <row r="67" spans="1:9" x14ac:dyDescent="0.25">
      <c r="A67" s="7">
        <v>8</v>
      </c>
      <c r="B67" s="1"/>
      <c r="C67" s="1"/>
      <c r="D67" s="1"/>
      <c r="E67" s="65">
        <f t="shared" si="29"/>
        <v>0</v>
      </c>
      <c r="F67" s="199" t="s">
        <v>866</v>
      </c>
      <c r="G67" s="186"/>
      <c r="H67" s="276">
        <f ca="1">RecommendedBudgetSR-H66</f>
        <v>991.66666666666652</v>
      </c>
      <c r="I67" s="192"/>
    </row>
    <row r="68" spans="1:9" x14ac:dyDescent="0.25">
      <c r="A68" s="7">
        <v>9</v>
      </c>
      <c r="B68" s="1"/>
      <c r="C68" s="1"/>
      <c r="D68" s="1"/>
      <c r="E68" s="65">
        <f t="shared" si="29"/>
        <v>0</v>
      </c>
      <c r="F68" s="199" t="s">
        <v>877</v>
      </c>
      <c r="G68" s="186"/>
      <c r="H68" s="276">
        <f ca="1">H46-H62</f>
        <v>3781.25</v>
      </c>
      <c r="I68" s="192"/>
    </row>
    <row r="69" spans="1:9" x14ac:dyDescent="0.25">
      <c r="A69" s="7">
        <v>10</v>
      </c>
      <c r="B69" s="1"/>
      <c r="C69" s="1"/>
      <c r="D69" s="1"/>
      <c r="E69" s="65">
        <f t="shared" si="29"/>
        <v>0</v>
      </c>
      <c r="F69" s="20"/>
      <c r="G69" s="21"/>
      <c r="H69" s="21"/>
      <c r="I69" s="22"/>
    </row>
    <row r="70" spans="1:9" x14ac:dyDescent="0.25">
      <c r="A70" s="7">
        <v>11</v>
      </c>
      <c r="B70" s="1"/>
      <c r="C70" s="1"/>
      <c r="D70" s="1"/>
      <c r="E70" s="65">
        <f t="shared" si="29"/>
        <v>0</v>
      </c>
      <c r="F70" s="20"/>
      <c r="G70" s="21"/>
      <c r="H70" s="21"/>
      <c r="I70" s="22"/>
    </row>
    <row r="71" spans="1:9" x14ac:dyDescent="0.25">
      <c r="A71" s="7">
        <v>12</v>
      </c>
      <c r="B71" s="1"/>
      <c r="C71" s="1"/>
      <c r="D71" s="1"/>
      <c r="E71" s="65">
        <f t="shared" si="29"/>
        <v>0</v>
      </c>
      <c r="F71" s="20"/>
      <c r="G71" s="21"/>
      <c r="H71" s="21"/>
      <c r="I71" s="22"/>
    </row>
    <row r="72" spans="1:9" x14ac:dyDescent="0.25">
      <c r="A72" s="7">
        <v>13</v>
      </c>
      <c r="B72" s="1"/>
      <c r="C72" s="1"/>
      <c r="D72" s="1"/>
      <c r="E72" s="65">
        <f t="shared" si="29"/>
        <v>0</v>
      </c>
      <c r="F72" s="20"/>
      <c r="G72" s="21"/>
      <c r="H72" s="21"/>
      <c r="I72" s="22"/>
    </row>
    <row r="73" spans="1:9" x14ac:dyDescent="0.25">
      <c r="A73" s="7">
        <v>14</v>
      </c>
      <c r="B73" s="1"/>
      <c r="C73" s="1"/>
      <c r="D73" s="1"/>
      <c r="E73" s="65">
        <f t="shared" si="29"/>
        <v>0</v>
      </c>
      <c r="F73" s="20"/>
      <c r="G73" s="21"/>
      <c r="H73" s="21"/>
      <c r="I73" s="22"/>
    </row>
    <row r="74" spans="1:9" x14ac:dyDescent="0.25">
      <c r="A74" s="7">
        <v>15</v>
      </c>
      <c r="B74" s="1"/>
      <c r="C74" s="1"/>
      <c r="D74" s="1"/>
      <c r="E74" s="65">
        <f t="shared" si="29"/>
        <v>0</v>
      </c>
      <c r="F74" s="20"/>
      <c r="G74" s="21"/>
      <c r="H74" s="21"/>
      <c r="I74" s="22"/>
    </row>
    <row r="75" spans="1:9" x14ac:dyDescent="0.25">
      <c r="A75" s="7">
        <v>16</v>
      </c>
      <c r="B75" s="1"/>
      <c r="C75" s="1"/>
      <c r="D75" s="1"/>
      <c r="E75" s="65">
        <f t="shared" si="29"/>
        <v>0</v>
      </c>
      <c r="F75" s="20"/>
      <c r="G75" s="21"/>
      <c r="H75" s="21"/>
      <c r="I75" s="22"/>
    </row>
    <row r="76" spans="1:9" x14ac:dyDescent="0.25">
      <c r="A76" s="7">
        <v>17</v>
      </c>
      <c r="B76" s="1"/>
      <c r="C76" s="1"/>
      <c r="D76" s="1"/>
      <c r="E76" s="65">
        <f t="shared" si="29"/>
        <v>0</v>
      </c>
      <c r="F76" s="20"/>
      <c r="G76" s="21"/>
      <c r="H76" s="21"/>
      <c r="I76" s="22"/>
    </row>
    <row r="77" spans="1:9" x14ac:dyDescent="0.25">
      <c r="A77" s="7">
        <v>18</v>
      </c>
      <c r="B77" s="1"/>
      <c r="C77" s="1"/>
      <c r="D77" s="1"/>
      <c r="E77" s="65">
        <f t="shared" si="29"/>
        <v>0</v>
      </c>
      <c r="F77" s="20"/>
      <c r="G77" s="21"/>
      <c r="H77" s="21"/>
      <c r="I77" s="22"/>
    </row>
    <row r="78" spans="1:9" x14ac:dyDescent="0.25">
      <c r="A78" s="7">
        <v>19</v>
      </c>
      <c r="B78" s="1"/>
      <c r="C78" s="1"/>
      <c r="D78" s="1"/>
      <c r="E78" s="65">
        <f t="shared" si="29"/>
        <v>0</v>
      </c>
      <c r="F78" s="20"/>
      <c r="G78" s="21"/>
      <c r="H78" s="21"/>
      <c r="I78" s="22"/>
    </row>
    <row r="79" spans="1:9" ht="15.75" thickBot="1" x14ac:dyDescent="0.3">
      <c r="A79" s="11">
        <v>20</v>
      </c>
      <c r="B79" s="2"/>
      <c r="C79" s="2"/>
      <c r="D79" s="2"/>
      <c r="E79" s="77">
        <f t="shared" si="29"/>
        <v>0</v>
      </c>
      <c r="F79" s="23"/>
      <c r="G79" s="24"/>
      <c r="H79" s="24"/>
      <c r="I79" s="25"/>
    </row>
    <row r="80" spans="1:9" ht="15.75" thickBot="1" x14ac:dyDescent="0.3">
      <c r="A80" s="286" t="s">
        <v>875</v>
      </c>
      <c r="B80" s="287"/>
      <c r="C80" s="286" t="s">
        <v>1164</v>
      </c>
      <c r="D80" s="287"/>
      <c r="E80" s="287"/>
      <c r="F80" s="287"/>
      <c r="G80" s="287"/>
      <c r="H80" s="287"/>
      <c r="I80" s="288"/>
    </row>
    <row r="81" spans="1:9" ht="15.75" thickBot="1" x14ac:dyDescent="0.3">
      <c r="A81" s="76" t="s">
        <v>16</v>
      </c>
      <c r="B81" s="59" t="s">
        <v>23</v>
      </c>
      <c r="C81" s="59" t="s">
        <v>24</v>
      </c>
      <c r="D81" s="59" t="s">
        <v>11</v>
      </c>
      <c r="E81" s="60" t="s">
        <v>1</v>
      </c>
      <c r="F81" s="282" t="s">
        <v>867</v>
      </c>
      <c r="G81" s="283"/>
      <c r="H81" s="206">
        <f ca="1">SUMPRODUCT(C82:C101,E82:E101)</f>
        <v>800</v>
      </c>
      <c r="I81" s="204"/>
    </row>
    <row r="82" spans="1:9" x14ac:dyDescent="0.25">
      <c r="A82" s="74">
        <v>1</v>
      </c>
      <c r="B82" s="1" t="str">
        <f ca="1">MonsterList!B7</f>
        <v>Guard</v>
      </c>
      <c r="C82" s="3">
        <v>4</v>
      </c>
      <c r="D82" s="3">
        <f ca="1">IFERROR(INDEX(MonsterList!$C$3:$C$1000,MATCH(EncCalc!B82,MonsterList!$B$3:$B$1000,0),1),0)</f>
        <v>0.125</v>
      </c>
      <c r="E82" s="66">
        <f ca="1">200*D82</f>
        <v>25</v>
      </c>
      <c r="F82" s="284" t="s">
        <v>860</v>
      </c>
      <c r="G82" s="285"/>
      <c r="H82" s="186">
        <f>SUM(C82:C101)</f>
        <v>8</v>
      </c>
      <c r="I82" s="192"/>
    </row>
    <row r="83" spans="1:9" x14ac:dyDescent="0.25">
      <c r="A83" s="7">
        <v>2</v>
      </c>
      <c r="B83" s="1" t="str">
        <f ca="1">MonsterList!B17</f>
        <v>Ambush Drake</v>
      </c>
      <c r="C83" s="1">
        <v>3</v>
      </c>
      <c r="D83" s="3">
        <f ca="1">IFERROR(INDEX(MonsterList!$C$3:$C$1000,MATCH(EncCalc!B83,MonsterList!$B$3:$B$1000,0),1),0)</f>
        <v>0.5</v>
      </c>
      <c r="E83" s="65">
        <f t="shared" ref="E83:E101" ca="1" si="30">200*D83</f>
        <v>100</v>
      </c>
      <c r="F83" s="284" t="s">
        <v>861</v>
      </c>
      <c r="G83" s="285"/>
      <c r="H83" s="186">
        <f>IFERROR(INDEX($AG$4:$AN$18,MATCH(H82,$AF$4:$AF$18,0),MATCH(NumberOfCharacters,$AG$3:$AN$3,0)),0)</f>
        <v>2.4583333333333335</v>
      </c>
      <c r="I83" s="192"/>
    </row>
    <row r="84" spans="1:9" x14ac:dyDescent="0.25">
      <c r="A84" s="7">
        <v>3</v>
      </c>
      <c r="B84" s="1" t="str">
        <f ca="1">MonsterList!B16</f>
        <v>Guard Drake</v>
      </c>
      <c r="C84" s="1">
        <v>1</v>
      </c>
      <c r="D84" s="3">
        <f ca="1">IFERROR(INDEX(MonsterList!$C$3:$C$1000,MATCH(EncCalc!B84,MonsterList!$B$3:$B$1000,0),1),0)</f>
        <v>2</v>
      </c>
      <c r="E84" s="65">
        <f t="shared" ca="1" si="30"/>
        <v>400</v>
      </c>
      <c r="F84" s="199" t="s">
        <v>859</v>
      </c>
      <c r="G84" s="186"/>
      <c r="H84" s="186">
        <f ca="1">H83*H81/PartyPower</f>
        <v>983.33333333333337</v>
      </c>
      <c r="I84" s="192"/>
    </row>
    <row r="85" spans="1:9" ht="15.75" thickBot="1" x14ac:dyDescent="0.3">
      <c r="A85" s="7">
        <v>4</v>
      </c>
      <c r="B85" s="1"/>
      <c r="C85" s="1"/>
      <c r="D85" s="3">
        <f ca="1">IFERROR(INDEX(MonsterList!$C$3:$C$1000,MATCH(EncCalc!B85,MonsterList!$B$3:$B$1000,0),1),0)</f>
        <v>0</v>
      </c>
      <c r="E85" s="65">
        <f t="shared" ca="1" si="30"/>
        <v>0</v>
      </c>
      <c r="F85" s="199" t="s">
        <v>865</v>
      </c>
      <c r="G85" s="186"/>
      <c r="H85" s="186" t="str">
        <f ca="1">IF(H84&lt;$D$12,"Easy",IF(H84&lt;$E$12,"Medium",IF(H84&lt;$F$12,"Hard",IF(H84&lt;$G$12,"Deadly","TPK"))))</f>
        <v>Hard</v>
      </c>
      <c r="I85" s="192"/>
    </row>
    <row r="86" spans="1:9" x14ac:dyDescent="0.25">
      <c r="A86" s="7">
        <v>5</v>
      </c>
      <c r="B86" s="1"/>
      <c r="C86" s="1"/>
      <c r="D86" s="1"/>
      <c r="E86" s="65">
        <f t="shared" si="30"/>
        <v>0</v>
      </c>
      <c r="F86" s="282" t="s">
        <v>868</v>
      </c>
      <c r="G86" s="283"/>
      <c r="H86" s="206">
        <f ca="1">H81/$J$2/PartyPower</f>
        <v>80</v>
      </c>
      <c r="I86" s="204"/>
    </row>
    <row r="87" spans="1:9" x14ac:dyDescent="0.25">
      <c r="A87" s="7">
        <v>6</v>
      </c>
      <c r="B87" s="1"/>
      <c r="C87" s="1"/>
      <c r="D87" s="1"/>
      <c r="E87" s="65">
        <f t="shared" si="30"/>
        <v>0</v>
      </c>
      <c r="F87" s="277" t="s">
        <v>869</v>
      </c>
      <c r="G87" s="278"/>
      <c r="H87" s="278" t="s">
        <v>44</v>
      </c>
      <c r="I87" s="279"/>
    </row>
    <row r="88" spans="1:9" x14ac:dyDescent="0.25">
      <c r="A88" s="7">
        <v>7</v>
      </c>
      <c r="B88" s="1"/>
      <c r="C88" s="1"/>
      <c r="D88" s="1"/>
      <c r="E88" s="65">
        <f t="shared" si="30"/>
        <v>0</v>
      </c>
      <c r="F88" s="277" t="s">
        <v>871</v>
      </c>
      <c r="G88" s="278"/>
      <c r="H88" s="280">
        <f ca="1">(H84+H66)*(IF(H87="yes",0,1))+H66</f>
        <v>1175</v>
      </c>
      <c r="I88" s="281"/>
    </row>
    <row r="89" spans="1:9" x14ac:dyDescent="0.25">
      <c r="A89" s="7">
        <v>8</v>
      </c>
      <c r="B89" s="1"/>
      <c r="C89" s="1"/>
      <c r="D89" s="1"/>
      <c r="E89" s="65">
        <f t="shared" si="30"/>
        <v>0</v>
      </c>
      <c r="F89" s="199" t="s">
        <v>866</v>
      </c>
      <c r="G89" s="186"/>
      <c r="H89" s="276">
        <f ca="1">RecommendedBudgetSR-H88</f>
        <v>991.66666666666652</v>
      </c>
      <c r="I89" s="192"/>
    </row>
    <row r="90" spans="1:9" x14ac:dyDescent="0.25">
      <c r="A90" s="7">
        <v>9</v>
      </c>
      <c r="B90" s="1"/>
      <c r="C90" s="1"/>
      <c r="D90" s="1"/>
      <c r="E90" s="65">
        <f t="shared" si="30"/>
        <v>0</v>
      </c>
      <c r="F90" s="199" t="s">
        <v>877</v>
      </c>
      <c r="G90" s="186"/>
      <c r="H90" s="276">
        <f ca="1">H68-H84</f>
        <v>2797.9166666666665</v>
      </c>
      <c r="I90" s="192"/>
    </row>
    <row r="91" spans="1:9" x14ac:dyDescent="0.25">
      <c r="A91" s="7">
        <v>10</v>
      </c>
      <c r="B91" s="1"/>
      <c r="C91" s="1"/>
      <c r="D91" s="1"/>
      <c r="E91" s="65">
        <f t="shared" si="30"/>
        <v>0</v>
      </c>
      <c r="F91" s="20"/>
      <c r="G91" s="21"/>
      <c r="H91" s="21"/>
      <c r="I91" s="22"/>
    </row>
    <row r="92" spans="1:9" x14ac:dyDescent="0.25">
      <c r="A92" s="7">
        <v>11</v>
      </c>
      <c r="B92" s="1"/>
      <c r="C92" s="1"/>
      <c r="D92" s="1"/>
      <c r="E92" s="65">
        <f t="shared" si="30"/>
        <v>0</v>
      </c>
      <c r="F92" s="20"/>
      <c r="G92" s="21"/>
      <c r="H92" s="21"/>
      <c r="I92" s="22"/>
    </row>
    <row r="93" spans="1:9" x14ac:dyDescent="0.25">
      <c r="A93" s="7">
        <v>12</v>
      </c>
      <c r="B93" s="1"/>
      <c r="C93" s="1"/>
      <c r="D93" s="1"/>
      <c r="E93" s="65">
        <f t="shared" si="30"/>
        <v>0</v>
      </c>
      <c r="F93" s="20"/>
      <c r="G93" s="21"/>
      <c r="H93" s="21"/>
      <c r="I93" s="22"/>
    </row>
    <row r="94" spans="1:9" x14ac:dyDescent="0.25">
      <c r="A94" s="7">
        <v>13</v>
      </c>
      <c r="B94" s="1"/>
      <c r="C94" s="1"/>
      <c r="D94" s="1"/>
      <c r="E94" s="65">
        <f t="shared" si="30"/>
        <v>0</v>
      </c>
      <c r="F94" s="20"/>
      <c r="G94" s="21"/>
      <c r="H94" s="21"/>
      <c r="I94" s="22"/>
    </row>
    <row r="95" spans="1:9" x14ac:dyDescent="0.25">
      <c r="A95" s="7">
        <v>14</v>
      </c>
      <c r="B95" s="1"/>
      <c r="C95" s="1"/>
      <c r="D95" s="1"/>
      <c r="E95" s="65">
        <f t="shared" si="30"/>
        <v>0</v>
      </c>
      <c r="F95" s="20"/>
      <c r="G95" s="21"/>
      <c r="H95" s="21"/>
      <c r="I95" s="22"/>
    </row>
    <row r="96" spans="1:9" x14ac:dyDescent="0.25">
      <c r="A96" s="7">
        <v>15</v>
      </c>
      <c r="B96" s="1"/>
      <c r="C96" s="1"/>
      <c r="D96" s="1"/>
      <c r="E96" s="65">
        <f t="shared" si="30"/>
        <v>0</v>
      </c>
      <c r="F96" s="20"/>
      <c r="G96" s="21"/>
      <c r="H96" s="21"/>
      <c r="I96" s="22"/>
    </row>
    <row r="97" spans="1:9" x14ac:dyDescent="0.25">
      <c r="A97" s="7">
        <v>16</v>
      </c>
      <c r="B97" s="1"/>
      <c r="C97" s="1"/>
      <c r="D97" s="1"/>
      <c r="E97" s="65">
        <f t="shared" si="30"/>
        <v>0</v>
      </c>
      <c r="F97" s="20"/>
      <c r="G97" s="21"/>
      <c r="H97" s="21"/>
      <c r="I97" s="22"/>
    </row>
    <row r="98" spans="1:9" x14ac:dyDescent="0.25">
      <c r="A98" s="7">
        <v>17</v>
      </c>
      <c r="B98" s="1"/>
      <c r="C98" s="1"/>
      <c r="D98" s="1"/>
      <c r="E98" s="65">
        <f t="shared" si="30"/>
        <v>0</v>
      </c>
      <c r="F98" s="20"/>
      <c r="G98" s="21"/>
      <c r="H98" s="21"/>
      <c r="I98" s="22"/>
    </row>
    <row r="99" spans="1:9" x14ac:dyDescent="0.25">
      <c r="A99" s="7">
        <v>18</v>
      </c>
      <c r="B99" s="1"/>
      <c r="C99" s="1"/>
      <c r="D99" s="1"/>
      <c r="E99" s="65">
        <f t="shared" si="30"/>
        <v>0</v>
      </c>
      <c r="F99" s="20"/>
      <c r="G99" s="21"/>
      <c r="H99" s="21"/>
      <c r="I99" s="22"/>
    </row>
    <row r="100" spans="1:9" x14ac:dyDescent="0.25">
      <c r="A100" s="7">
        <v>19</v>
      </c>
      <c r="B100" s="1"/>
      <c r="C100" s="1"/>
      <c r="D100" s="1"/>
      <c r="E100" s="65">
        <f t="shared" si="30"/>
        <v>0</v>
      </c>
      <c r="F100" s="20"/>
      <c r="G100" s="21"/>
      <c r="H100" s="21"/>
      <c r="I100" s="22"/>
    </row>
    <row r="101" spans="1:9" ht="15.75" thickBot="1" x14ac:dyDescent="0.3">
      <c r="A101" s="11">
        <v>20</v>
      </c>
      <c r="B101" s="2"/>
      <c r="C101" s="2"/>
      <c r="D101" s="2"/>
      <c r="E101" s="77">
        <f t="shared" si="30"/>
        <v>0</v>
      </c>
      <c r="F101" s="23"/>
      <c r="G101" s="24"/>
      <c r="H101" s="24"/>
      <c r="I101" s="25"/>
    </row>
    <row r="102" spans="1:9" ht="15.75" thickBot="1" x14ac:dyDescent="0.3">
      <c r="A102" s="286" t="s">
        <v>878</v>
      </c>
      <c r="B102" s="287"/>
      <c r="C102" s="286" t="s">
        <v>1165</v>
      </c>
      <c r="D102" s="287"/>
      <c r="E102" s="287"/>
      <c r="F102" s="287"/>
      <c r="G102" s="287"/>
      <c r="H102" s="287"/>
      <c r="I102" s="288"/>
    </row>
    <row r="103" spans="1:9" ht="15.75" thickBot="1" x14ac:dyDescent="0.3">
      <c r="A103" s="76" t="s">
        <v>16</v>
      </c>
      <c r="B103" s="59" t="s">
        <v>23</v>
      </c>
      <c r="C103" s="59" t="s">
        <v>24</v>
      </c>
      <c r="D103" s="59" t="s">
        <v>11</v>
      </c>
      <c r="E103" s="60" t="s">
        <v>1</v>
      </c>
      <c r="F103" s="282" t="s">
        <v>867</v>
      </c>
      <c r="G103" s="283"/>
      <c r="H103" s="206">
        <f ca="1">SUMPRODUCT(C104:C123,E104:E123)</f>
        <v>725</v>
      </c>
      <c r="I103" s="204"/>
    </row>
    <row r="104" spans="1:9" x14ac:dyDescent="0.25">
      <c r="A104" s="74">
        <v>1</v>
      </c>
      <c r="B104" s="1" t="str">
        <f ca="1">MonsterList!B12</f>
        <v>Mercenary Veteran</v>
      </c>
      <c r="C104" s="3">
        <v>1</v>
      </c>
      <c r="D104" s="3">
        <f ca="1">IFERROR(INDEX(MonsterList!$C$3:$C$1000,MATCH(EncCalc!B104,MonsterList!$B$3:$B$1000,0),1),0)</f>
        <v>3</v>
      </c>
      <c r="E104" s="66">
        <f ca="1">200*D104</f>
        <v>600</v>
      </c>
      <c r="F104" s="284" t="s">
        <v>860</v>
      </c>
      <c r="G104" s="285"/>
      <c r="H104" s="186">
        <f>SUM(C104:C123)</f>
        <v>6</v>
      </c>
      <c r="I104" s="192"/>
    </row>
    <row r="105" spans="1:9" x14ac:dyDescent="0.25">
      <c r="A105" s="7">
        <v>2</v>
      </c>
      <c r="B105" s="1" t="str">
        <f ca="1">MonsterList!B7</f>
        <v>Guard</v>
      </c>
      <c r="C105" s="1">
        <v>5</v>
      </c>
      <c r="D105" s="3">
        <f ca="1">IFERROR(INDEX(MonsterList!$C$3:$C$1000,MATCH(EncCalc!B105,MonsterList!$B$3:$B$1000,0),1),0)</f>
        <v>0.125</v>
      </c>
      <c r="E105" s="65">
        <f t="shared" ref="E105:E123" ca="1" si="31">200*D105</f>
        <v>25</v>
      </c>
      <c r="F105" s="284" t="s">
        <v>861</v>
      </c>
      <c r="G105" s="285"/>
      <c r="H105" s="186">
        <f>IFERROR(INDEX($AG$4:$AN$18,MATCH(H104,$AF$4:$AF$18,0),MATCH(NumberOfCharacters,$AG$3:$AN$3,0)),0)</f>
        <v>2.2083333333333335</v>
      </c>
      <c r="I105" s="192"/>
    </row>
    <row r="106" spans="1:9" x14ac:dyDescent="0.25">
      <c r="A106" s="7">
        <v>3</v>
      </c>
      <c r="B106" s="1"/>
      <c r="C106" s="1"/>
      <c r="D106" s="3">
        <f ca="1">IFERROR(INDEX(MonsterList!$C$3:$C$1000,MATCH(EncCalc!B106,MonsterList!$B$3:$B$1000,0),1),0)</f>
        <v>0</v>
      </c>
      <c r="E106" s="65">
        <f t="shared" ca="1" si="31"/>
        <v>0</v>
      </c>
      <c r="F106" s="199" t="s">
        <v>859</v>
      </c>
      <c r="G106" s="186"/>
      <c r="H106" s="186">
        <f ca="1">H105*H103/PartyPower</f>
        <v>800.52083333333337</v>
      </c>
      <c r="I106" s="192"/>
    </row>
    <row r="107" spans="1:9" ht="15.75" thickBot="1" x14ac:dyDescent="0.3">
      <c r="A107" s="7">
        <v>4</v>
      </c>
      <c r="B107" s="1"/>
      <c r="C107" s="1"/>
      <c r="D107" s="3">
        <f ca="1">IFERROR(INDEX(MonsterList!$C$3:$C$1000,MATCH(EncCalc!B107,MonsterList!$B$3:$B$1000,0),1),0)</f>
        <v>0</v>
      </c>
      <c r="E107" s="65">
        <f t="shared" ca="1" si="31"/>
        <v>0</v>
      </c>
      <c r="F107" s="199" t="s">
        <v>865</v>
      </c>
      <c r="G107" s="186"/>
      <c r="H107" s="186" t="str">
        <f ca="1">IF(H106&lt;$D$12,"Easy",IF(H106&lt;$E$12,"Medium",IF(H106&lt;$F$12,"Hard",IF(H106&lt;$G$12,"Deadly","TPK"))))</f>
        <v>Medium</v>
      </c>
      <c r="I107" s="192"/>
    </row>
    <row r="108" spans="1:9" x14ac:dyDescent="0.25">
      <c r="A108" s="7">
        <v>5</v>
      </c>
      <c r="B108" s="1"/>
      <c r="C108" s="1"/>
      <c r="D108" s="1"/>
      <c r="E108" s="65">
        <f t="shared" si="31"/>
        <v>0</v>
      </c>
      <c r="F108" s="282" t="s">
        <v>868</v>
      </c>
      <c r="G108" s="283"/>
      <c r="H108" s="206">
        <f ca="1">H103/$J$2/PartyPower</f>
        <v>72.5</v>
      </c>
      <c r="I108" s="204"/>
    </row>
    <row r="109" spans="1:9" x14ac:dyDescent="0.25">
      <c r="A109" s="7">
        <v>6</v>
      </c>
      <c r="B109" s="1"/>
      <c r="C109" s="1"/>
      <c r="D109" s="1"/>
      <c r="E109" s="65">
        <f t="shared" si="31"/>
        <v>0</v>
      </c>
      <c r="F109" s="277" t="s">
        <v>869</v>
      </c>
      <c r="G109" s="278"/>
      <c r="H109" s="278" t="s">
        <v>43</v>
      </c>
      <c r="I109" s="279"/>
    </row>
    <row r="110" spans="1:9" x14ac:dyDescent="0.25">
      <c r="A110" s="7">
        <v>7</v>
      </c>
      <c r="B110" s="1"/>
      <c r="C110" s="1"/>
      <c r="D110" s="1"/>
      <c r="E110" s="65">
        <f t="shared" si="31"/>
        <v>0</v>
      </c>
      <c r="F110" s="277" t="s">
        <v>871</v>
      </c>
      <c r="G110" s="278"/>
      <c r="H110" s="280">
        <f ca="1">(H106+H88)*(IF(H109="yes",0,1))+H88</f>
        <v>3150.5208333333335</v>
      </c>
      <c r="I110" s="281"/>
    </row>
    <row r="111" spans="1:9" x14ac:dyDescent="0.25">
      <c r="A111" s="7">
        <v>8</v>
      </c>
      <c r="B111" s="1"/>
      <c r="C111" s="1"/>
      <c r="D111" s="1"/>
      <c r="E111" s="65">
        <f t="shared" si="31"/>
        <v>0</v>
      </c>
      <c r="F111" s="199" t="s">
        <v>866</v>
      </c>
      <c r="G111" s="186"/>
      <c r="H111" s="276">
        <f ca="1">RecommendedBudgetSR-H110</f>
        <v>-983.85416666666697</v>
      </c>
      <c r="I111" s="192"/>
    </row>
    <row r="112" spans="1:9" x14ac:dyDescent="0.25">
      <c r="A112" s="7">
        <v>9</v>
      </c>
      <c r="B112" s="1"/>
      <c r="C112" s="1"/>
      <c r="D112" s="1"/>
      <c r="E112" s="65">
        <f t="shared" si="31"/>
        <v>0</v>
      </c>
      <c r="F112" s="199" t="s">
        <v>877</v>
      </c>
      <c r="G112" s="186"/>
      <c r="H112" s="276">
        <f ca="1">H90-H106</f>
        <v>1997.395833333333</v>
      </c>
      <c r="I112" s="192"/>
    </row>
    <row r="113" spans="1:9" x14ac:dyDescent="0.25">
      <c r="A113" s="7">
        <v>10</v>
      </c>
      <c r="B113" s="1"/>
      <c r="C113" s="1"/>
      <c r="D113" s="1"/>
      <c r="E113" s="65">
        <f t="shared" si="31"/>
        <v>0</v>
      </c>
      <c r="F113" s="20"/>
      <c r="G113" s="21"/>
      <c r="H113" s="21"/>
      <c r="I113" s="22"/>
    </row>
    <row r="114" spans="1:9" x14ac:dyDescent="0.25">
      <c r="A114" s="7">
        <v>11</v>
      </c>
      <c r="B114" s="1"/>
      <c r="C114" s="1"/>
      <c r="D114" s="1"/>
      <c r="E114" s="65">
        <f t="shared" si="31"/>
        <v>0</v>
      </c>
      <c r="F114" s="20"/>
      <c r="G114" s="21"/>
      <c r="H114" s="21"/>
      <c r="I114" s="22"/>
    </row>
    <row r="115" spans="1:9" x14ac:dyDescent="0.25">
      <c r="A115" s="7">
        <v>12</v>
      </c>
      <c r="B115" s="1"/>
      <c r="C115" s="1"/>
      <c r="D115" s="1"/>
      <c r="E115" s="65">
        <f t="shared" si="31"/>
        <v>0</v>
      </c>
      <c r="F115" s="20"/>
      <c r="G115" s="21"/>
      <c r="H115" s="21"/>
      <c r="I115" s="22"/>
    </row>
    <row r="116" spans="1:9" x14ac:dyDescent="0.25">
      <c r="A116" s="7">
        <v>13</v>
      </c>
      <c r="B116" s="1"/>
      <c r="C116" s="1"/>
      <c r="D116" s="1"/>
      <c r="E116" s="65">
        <f t="shared" si="31"/>
        <v>0</v>
      </c>
      <c r="F116" s="20"/>
      <c r="G116" s="21"/>
      <c r="H116" s="21"/>
      <c r="I116" s="22"/>
    </row>
    <row r="117" spans="1:9" x14ac:dyDescent="0.25">
      <c r="A117" s="7">
        <v>14</v>
      </c>
      <c r="B117" s="1"/>
      <c r="C117" s="1"/>
      <c r="D117" s="1"/>
      <c r="E117" s="65">
        <f t="shared" si="31"/>
        <v>0</v>
      </c>
      <c r="F117" s="20"/>
      <c r="G117" s="21"/>
      <c r="H117" s="21"/>
      <c r="I117" s="22"/>
    </row>
    <row r="118" spans="1:9" x14ac:dyDescent="0.25">
      <c r="A118" s="7">
        <v>15</v>
      </c>
      <c r="B118" s="1"/>
      <c r="C118" s="1"/>
      <c r="D118" s="1"/>
      <c r="E118" s="65">
        <f t="shared" si="31"/>
        <v>0</v>
      </c>
      <c r="F118" s="20"/>
      <c r="G118" s="21"/>
      <c r="H118" s="21"/>
      <c r="I118" s="22"/>
    </row>
    <row r="119" spans="1:9" x14ac:dyDescent="0.25">
      <c r="A119" s="7">
        <v>16</v>
      </c>
      <c r="B119" s="1"/>
      <c r="C119" s="1"/>
      <c r="D119" s="1"/>
      <c r="E119" s="65">
        <f t="shared" si="31"/>
        <v>0</v>
      </c>
      <c r="F119" s="20"/>
      <c r="G119" s="21"/>
      <c r="H119" s="21"/>
      <c r="I119" s="22"/>
    </row>
    <row r="120" spans="1:9" x14ac:dyDescent="0.25">
      <c r="A120" s="7">
        <v>17</v>
      </c>
      <c r="B120" s="1"/>
      <c r="C120" s="1"/>
      <c r="D120" s="1"/>
      <c r="E120" s="65">
        <f t="shared" si="31"/>
        <v>0</v>
      </c>
      <c r="F120" s="20"/>
      <c r="G120" s="21"/>
      <c r="H120" s="21"/>
      <c r="I120" s="22"/>
    </row>
    <row r="121" spans="1:9" x14ac:dyDescent="0.25">
      <c r="A121" s="7">
        <v>18</v>
      </c>
      <c r="B121" s="1"/>
      <c r="C121" s="1"/>
      <c r="D121" s="1"/>
      <c r="E121" s="65">
        <f t="shared" si="31"/>
        <v>0</v>
      </c>
      <c r="F121" s="20"/>
      <c r="G121" s="21"/>
      <c r="H121" s="21"/>
      <c r="I121" s="22"/>
    </row>
    <row r="122" spans="1:9" x14ac:dyDescent="0.25">
      <c r="A122" s="7">
        <v>19</v>
      </c>
      <c r="B122" s="1"/>
      <c r="C122" s="1"/>
      <c r="D122" s="1"/>
      <c r="E122" s="65">
        <f t="shared" si="31"/>
        <v>0</v>
      </c>
      <c r="F122" s="20"/>
      <c r="G122" s="21"/>
      <c r="H122" s="21"/>
      <c r="I122" s="22"/>
    </row>
    <row r="123" spans="1:9" ht="15.75" thickBot="1" x14ac:dyDescent="0.3">
      <c r="A123" s="11">
        <v>20</v>
      </c>
      <c r="B123" s="2"/>
      <c r="C123" s="2"/>
      <c r="D123" s="2"/>
      <c r="E123" s="77">
        <f t="shared" si="31"/>
        <v>0</v>
      </c>
      <c r="F123" s="23"/>
      <c r="G123" s="24"/>
      <c r="H123" s="24"/>
      <c r="I123" s="25"/>
    </row>
    <row r="124" spans="1:9" ht="15.75" thickBot="1" x14ac:dyDescent="0.3">
      <c r="A124" s="286" t="s">
        <v>879</v>
      </c>
      <c r="B124" s="287"/>
      <c r="C124" s="286" t="s">
        <v>1180</v>
      </c>
      <c r="D124" s="287"/>
      <c r="E124" s="287"/>
      <c r="F124" s="287"/>
      <c r="G124" s="287"/>
      <c r="H124" s="287"/>
      <c r="I124" s="288"/>
    </row>
    <row r="125" spans="1:9" ht="15.75" thickBot="1" x14ac:dyDescent="0.3">
      <c r="A125" s="76" t="s">
        <v>16</v>
      </c>
      <c r="B125" s="59" t="s">
        <v>23</v>
      </c>
      <c r="C125" s="59" t="s">
        <v>24</v>
      </c>
      <c r="D125" s="59" t="s">
        <v>11</v>
      </c>
      <c r="E125" s="60" t="s">
        <v>1</v>
      </c>
      <c r="F125" s="282" t="s">
        <v>867</v>
      </c>
      <c r="G125" s="283"/>
      <c r="H125" s="206">
        <f ca="1">SUMPRODUCT(C126:C145,E126:E145)</f>
        <v>800</v>
      </c>
      <c r="I125" s="204"/>
    </row>
    <row r="126" spans="1:9" x14ac:dyDescent="0.25">
      <c r="A126" s="74">
        <v>1</v>
      </c>
      <c r="B126" s="1" t="str">
        <f ca="1">MonsterList!B13</f>
        <v>DragonClaw</v>
      </c>
      <c r="C126" s="3">
        <v>2</v>
      </c>
      <c r="D126" s="3">
        <f ca="1">IFERROR(INDEX(MonsterList!$C$3:$C$1000,MATCH(EncCalc!B126,MonsterList!$B$3:$B$1000,0),1),0)</f>
        <v>1</v>
      </c>
      <c r="E126" s="66">
        <f ca="1">200*D126</f>
        <v>200</v>
      </c>
      <c r="F126" s="284" t="s">
        <v>860</v>
      </c>
      <c r="G126" s="285"/>
      <c r="H126" s="186">
        <f>SUM(C126:C145)</f>
        <v>3</v>
      </c>
      <c r="I126" s="192"/>
    </row>
    <row r="127" spans="1:9" x14ac:dyDescent="0.25">
      <c r="A127" s="7">
        <v>2</v>
      </c>
      <c r="B127" s="1" t="str">
        <f ca="1">MonsterList!B14</f>
        <v>DragonWing</v>
      </c>
      <c r="C127" s="1">
        <v>1</v>
      </c>
      <c r="D127" s="3">
        <f ca="1">IFERROR(INDEX(MonsterList!$C$3:$C$1000,MATCH(EncCalc!B127,MonsterList!$B$3:$B$1000,0),1),0)</f>
        <v>2</v>
      </c>
      <c r="E127" s="65">
        <f t="shared" ref="E127:E145" ca="1" si="32">200*D127</f>
        <v>400</v>
      </c>
      <c r="F127" s="284" t="s">
        <v>861</v>
      </c>
      <c r="G127" s="285"/>
      <c r="H127" s="186">
        <f>IFERROR(INDEX($AG$4:$AN$18,MATCH(H126,$AF$4:$AF$18,0),MATCH(NumberOfCharacters,$AG$3:$AN$3,0)),0)</f>
        <v>1.8333333333333333</v>
      </c>
      <c r="I127" s="192"/>
    </row>
    <row r="128" spans="1:9" x14ac:dyDescent="0.25">
      <c r="A128" s="7">
        <v>3</v>
      </c>
      <c r="B128" s="1"/>
      <c r="C128" s="1"/>
      <c r="D128" s="3">
        <f ca="1">IFERROR(INDEX(MonsterList!$C$3:$C$1000,MATCH(EncCalc!B128,MonsterList!$B$3:$B$1000,0),1),0)</f>
        <v>0</v>
      </c>
      <c r="E128" s="65">
        <f t="shared" ca="1" si="32"/>
        <v>0</v>
      </c>
      <c r="F128" s="199" t="s">
        <v>859</v>
      </c>
      <c r="G128" s="186"/>
      <c r="H128" s="186">
        <f ca="1">H127*H125/PartyPower</f>
        <v>733.33333333333326</v>
      </c>
      <c r="I128" s="192"/>
    </row>
    <row r="129" spans="1:9" ht="15.75" thickBot="1" x14ac:dyDescent="0.3">
      <c r="A129" s="7">
        <v>4</v>
      </c>
      <c r="B129" s="1"/>
      <c r="C129" s="1"/>
      <c r="D129" s="3">
        <f ca="1">IFERROR(INDEX(MonsterList!$C$3:$C$1000,MATCH(EncCalc!B129,MonsterList!$B$3:$B$1000,0),1),0)</f>
        <v>0</v>
      </c>
      <c r="E129" s="65">
        <f t="shared" ca="1" si="32"/>
        <v>0</v>
      </c>
      <c r="F129" s="199" t="s">
        <v>865</v>
      </c>
      <c r="G129" s="186"/>
      <c r="H129" s="186" t="str">
        <f ca="1">IF(H128&lt;$D$12,"Easy",IF(H128&lt;$E$12,"Medium",IF(H128&lt;$F$12,"Hard",IF(H128&lt;$G$12,"Deadly","TPK"))))</f>
        <v>Medium</v>
      </c>
      <c r="I129" s="192"/>
    </row>
    <row r="130" spans="1:9" x14ac:dyDescent="0.25">
      <c r="A130" s="7">
        <v>5</v>
      </c>
      <c r="B130" s="1"/>
      <c r="C130" s="1"/>
      <c r="D130" s="1"/>
      <c r="E130" s="65">
        <f t="shared" si="32"/>
        <v>0</v>
      </c>
      <c r="F130" s="282" t="s">
        <v>868</v>
      </c>
      <c r="G130" s="283"/>
      <c r="H130" s="206">
        <f ca="1">H125/$J$2/PartyPower</f>
        <v>80</v>
      </c>
      <c r="I130" s="204"/>
    </row>
    <row r="131" spans="1:9" x14ac:dyDescent="0.25">
      <c r="A131" s="7">
        <v>6</v>
      </c>
      <c r="B131" s="1"/>
      <c r="C131" s="1"/>
      <c r="D131" s="1"/>
      <c r="E131" s="65">
        <f t="shared" si="32"/>
        <v>0</v>
      </c>
      <c r="F131" s="277" t="s">
        <v>869</v>
      </c>
      <c r="G131" s="278"/>
      <c r="H131" s="278" t="s">
        <v>43</v>
      </c>
      <c r="I131" s="279"/>
    </row>
    <row r="132" spans="1:9" x14ac:dyDescent="0.25">
      <c r="A132" s="7">
        <v>7</v>
      </c>
      <c r="B132" s="1"/>
      <c r="C132" s="1"/>
      <c r="D132" s="1"/>
      <c r="E132" s="65">
        <f t="shared" si="32"/>
        <v>0</v>
      </c>
      <c r="F132" s="277" t="s">
        <v>871</v>
      </c>
      <c r="G132" s="278"/>
      <c r="H132" s="280">
        <f ca="1">(H128+H110)*(IF(H131="yes",0,1))+H110</f>
        <v>7034.375</v>
      </c>
      <c r="I132" s="281"/>
    </row>
    <row r="133" spans="1:9" x14ac:dyDescent="0.25">
      <c r="A133" s="7">
        <v>8</v>
      </c>
      <c r="B133" s="1"/>
      <c r="C133" s="1"/>
      <c r="D133" s="1"/>
      <c r="E133" s="65">
        <f t="shared" si="32"/>
        <v>0</v>
      </c>
      <c r="F133" s="199" t="s">
        <v>866</v>
      </c>
      <c r="G133" s="186"/>
      <c r="H133" s="276">
        <f ca="1">RecommendedBudgetSR-H132</f>
        <v>-4867.7083333333339</v>
      </c>
      <c r="I133" s="192"/>
    </row>
    <row r="134" spans="1:9" x14ac:dyDescent="0.25">
      <c r="A134" s="7">
        <v>9</v>
      </c>
      <c r="B134" s="1"/>
      <c r="C134" s="1"/>
      <c r="D134" s="1"/>
      <c r="E134" s="65">
        <f t="shared" si="32"/>
        <v>0</v>
      </c>
      <c r="F134" s="199" t="s">
        <v>877</v>
      </c>
      <c r="G134" s="186"/>
      <c r="H134" s="276">
        <f ca="1">H112-H128</f>
        <v>1264.0624999999998</v>
      </c>
      <c r="I134" s="192"/>
    </row>
    <row r="135" spans="1:9" x14ac:dyDescent="0.25">
      <c r="A135" s="7">
        <v>10</v>
      </c>
      <c r="B135" s="1"/>
      <c r="C135" s="1"/>
      <c r="D135" s="1"/>
      <c r="E135" s="65">
        <f t="shared" si="32"/>
        <v>0</v>
      </c>
      <c r="F135" s="20"/>
      <c r="G135" s="21"/>
      <c r="H135" s="21"/>
      <c r="I135" s="22"/>
    </row>
    <row r="136" spans="1:9" x14ac:dyDescent="0.25">
      <c r="A136" s="7">
        <v>11</v>
      </c>
      <c r="B136" s="1"/>
      <c r="C136" s="1"/>
      <c r="D136" s="1"/>
      <c r="E136" s="65">
        <f t="shared" si="32"/>
        <v>0</v>
      </c>
      <c r="F136" s="20"/>
      <c r="G136" s="21"/>
      <c r="H136" s="21"/>
      <c r="I136" s="22"/>
    </row>
    <row r="137" spans="1:9" x14ac:dyDescent="0.25">
      <c r="A137" s="7">
        <v>12</v>
      </c>
      <c r="B137" s="1"/>
      <c r="C137" s="1"/>
      <c r="D137" s="1"/>
      <c r="E137" s="65">
        <f t="shared" si="32"/>
        <v>0</v>
      </c>
      <c r="F137" s="20"/>
      <c r="G137" s="21"/>
      <c r="H137" s="21"/>
      <c r="I137" s="22"/>
    </row>
    <row r="138" spans="1:9" x14ac:dyDescent="0.25">
      <c r="A138" s="7">
        <v>13</v>
      </c>
      <c r="B138" s="1"/>
      <c r="C138" s="1"/>
      <c r="D138" s="1"/>
      <c r="E138" s="65">
        <f t="shared" si="32"/>
        <v>0</v>
      </c>
      <c r="F138" s="20"/>
      <c r="G138" s="21"/>
      <c r="H138" s="21"/>
      <c r="I138" s="22"/>
    </row>
    <row r="139" spans="1:9" x14ac:dyDescent="0.25">
      <c r="A139" s="7">
        <v>14</v>
      </c>
      <c r="B139" s="1"/>
      <c r="C139" s="1"/>
      <c r="D139" s="1"/>
      <c r="E139" s="65">
        <f t="shared" si="32"/>
        <v>0</v>
      </c>
      <c r="F139" s="20"/>
      <c r="G139" s="21"/>
      <c r="H139" s="21"/>
      <c r="I139" s="22"/>
    </row>
    <row r="140" spans="1:9" x14ac:dyDescent="0.25">
      <c r="A140" s="7">
        <v>15</v>
      </c>
      <c r="B140" s="1"/>
      <c r="C140" s="1"/>
      <c r="D140" s="1"/>
      <c r="E140" s="65">
        <f t="shared" si="32"/>
        <v>0</v>
      </c>
      <c r="F140" s="20"/>
      <c r="G140" s="21"/>
      <c r="H140" s="21"/>
      <c r="I140" s="22"/>
    </row>
    <row r="141" spans="1:9" x14ac:dyDescent="0.25">
      <c r="A141" s="7">
        <v>16</v>
      </c>
      <c r="B141" s="1"/>
      <c r="C141" s="1"/>
      <c r="D141" s="1"/>
      <c r="E141" s="65">
        <f t="shared" si="32"/>
        <v>0</v>
      </c>
      <c r="F141" s="20"/>
      <c r="G141" s="21"/>
      <c r="H141" s="21"/>
      <c r="I141" s="22"/>
    </row>
    <row r="142" spans="1:9" x14ac:dyDescent="0.25">
      <c r="A142" s="7">
        <v>17</v>
      </c>
      <c r="B142" s="1"/>
      <c r="C142" s="1"/>
      <c r="D142" s="1"/>
      <c r="E142" s="65">
        <f t="shared" si="32"/>
        <v>0</v>
      </c>
      <c r="F142" s="20"/>
      <c r="G142" s="21"/>
      <c r="H142" s="21"/>
      <c r="I142" s="22"/>
    </row>
    <row r="143" spans="1:9" x14ac:dyDescent="0.25">
      <c r="A143" s="7">
        <v>18</v>
      </c>
      <c r="B143" s="1"/>
      <c r="C143" s="1"/>
      <c r="D143" s="1"/>
      <c r="E143" s="65">
        <f t="shared" si="32"/>
        <v>0</v>
      </c>
      <c r="F143" s="20"/>
      <c r="G143" s="21"/>
      <c r="H143" s="21"/>
      <c r="I143" s="22"/>
    </row>
    <row r="144" spans="1:9" x14ac:dyDescent="0.25">
      <c r="A144" s="7">
        <v>19</v>
      </c>
      <c r="B144" s="1"/>
      <c r="C144" s="1"/>
      <c r="D144" s="1"/>
      <c r="E144" s="65">
        <f t="shared" si="32"/>
        <v>0</v>
      </c>
      <c r="F144" s="20"/>
      <c r="G144" s="21"/>
      <c r="H144" s="21"/>
      <c r="I144" s="22"/>
    </row>
    <row r="145" spans="1:9" ht="15.75" thickBot="1" x14ac:dyDescent="0.3">
      <c r="A145" s="11">
        <v>20</v>
      </c>
      <c r="B145" s="2"/>
      <c r="C145" s="2"/>
      <c r="D145" s="2"/>
      <c r="E145" s="77">
        <f t="shared" si="32"/>
        <v>0</v>
      </c>
      <c r="F145" s="23"/>
      <c r="G145" s="24"/>
      <c r="H145" s="24"/>
      <c r="I145" s="25"/>
    </row>
    <row r="146" spans="1:9" ht="15.75" thickBot="1" x14ac:dyDescent="0.3">
      <c r="A146" s="286" t="s">
        <v>880</v>
      </c>
      <c r="B146" s="287"/>
      <c r="C146" s="286"/>
      <c r="D146" s="287"/>
      <c r="E146" s="287"/>
      <c r="F146" s="287"/>
      <c r="G146" s="287"/>
      <c r="H146" s="287"/>
      <c r="I146" s="288"/>
    </row>
    <row r="147" spans="1:9" ht="15.75" thickBot="1" x14ac:dyDescent="0.3">
      <c r="A147" s="76" t="s">
        <v>16</v>
      </c>
      <c r="B147" s="59" t="s">
        <v>23</v>
      </c>
      <c r="C147" s="59" t="s">
        <v>24</v>
      </c>
      <c r="D147" s="59" t="s">
        <v>11</v>
      </c>
      <c r="E147" s="60" t="s">
        <v>1</v>
      </c>
      <c r="F147" s="282" t="s">
        <v>867</v>
      </c>
      <c r="G147" s="283"/>
      <c r="H147" s="206">
        <f ca="1">SUMPRODUCT(C148:C167,E148:E167)</f>
        <v>1300</v>
      </c>
      <c r="I147" s="204"/>
    </row>
    <row r="148" spans="1:9" x14ac:dyDescent="0.25">
      <c r="A148" s="74">
        <v>1</v>
      </c>
      <c r="B148" s="1" t="str">
        <f ca="1">MonsterList!B16</f>
        <v>Guard Drake</v>
      </c>
      <c r="C148" s="3">
        <v>3</v>
      </c>
      <c r="D148" s="3">
        <f ca="1">IFERROR(INDEX(MonsterList!$C$3:$C$1000,MATCH(EncCalc!B148,MonsterList!$B$3:$B$1000,0),1),0)</f>
        <v>2</v>
      </c>
      <c r="E148" s="66">
        <f ca="1">200*D148</f>
        <v>400</v>
      </c>
      <c r="F148" s="284" t="s">
        <v>860</v>
      </c>
      <c r="G148" s="285"/>
      <c r="H148" s="186">
        <f>SUM(C148:C167)</f>
        <v>7</v>
      </c>
      <c r="I148" s="192"/>
    </row>
    <row r="149" spans="1:9" x14ac:dyDescent="0.25">
      <c r="A149" s="7">
        <v>2</v>
      </c>
      <c r="B149" s="1" t="str">
        <f ca="1">MonsterList!B9</f>
        <v>Kobold</v>
      </c>
      <c r="C149" s="1">
        <v>4</v>
      </c>
      <c r="D149" s="3">
        <f ca="1">IFERROR(INDEX(MonsterList!$C$3:$C$1000,MATCH(EncCalc!B149,MonsterList!$B$3:$B$1000,0),1),0)</f>
        <v>0.125</v>
      </c>
      <c r="E149" s="65">
        <f t="shared" ref="E149:E167" ca="1" si="33">200*D149</f>
        <v>25</v>
      </c>
      <c r="F149" s="284" t="s">
        <v>861</v>
      </c>
      <c r="G149" s="285"/>
      <c r="H149" s="186">
        <f>IFERROR(INDEX($AG$4:$AN$18,MATCH(H148,$AF$4:$AF$18,0),MATCH(NumberOfCharacters,$AG$3:$AN$3,0)),0)</f>
        <v>2.3333333333333335</v>
      </c>
      <c r="I149" s="192"/>
    </row>
    <row r="150" spans="1:9" x14ac:dyDescent="0.25">
      <c r="A150" s="7">
        <v>3</v>
      </c>
      <c r="B150" s="1"/>
      <c r="C150" s="1"/>
      <c r="D150" s="3">
        <f ca="1">IFERROR(INDEX(MonsterList!$C$3:$C$1000,MATCH(EncCalc!B150,MonsterList!$B$3:$B$1000,0),1),0)</f>
        <v>0</v>
      </c>
      <c r="E150" s="65">
        <f t="shared" ca="1" si="33"/>
        <v>0</v>
      </c>
      <c r="F150" s="199" t="s">
        <v>859</v>
      </c>
      <c r="G150" s="186"/>
      <c r="H150" s="186">
        <f ca="1">H149*H147/PartyPower</f>
        <v>1516.6666666666667</v>
      </c>
      <c r="I150" s="192"/>
    </row>
    <row r="151" spans="1:9" ht="15.75" thickBot="1" x14ac:dyDescent="0.3">
      <c r="A151" s="7">
        <v>4</v>
      </c>
      <c r="B151" s="1"/>
      <c r="C151" s="1"/>
      <c r="D151" s="3">
        <f ca="1">IFERROR(INDEX(MonsterList!$C$3:$C$1000,MATCH(EncCalc!B151,MonsterList!$B$3:$B$1000,0),1),0)</f>
        <v>0</v>
      </c>
      <c r="E151" s="65">
        <f t="shared" ca="1" si="33"/>
        <v>0</v>
      </c>
      <c r="F151" s="199" t="s">
        <v>865</v>
      </c>
      <c r="G151" s="186"/>
      <c r="H151" s="186" t="str">
        <f ca="1">IF(H150&lt;$D$12,"Easy",IF(H150&lt;$E$12,"Medium",IF(H150&lt;$F$12,"Hard",IF(H150&lt;$G$12,"Deadly","TPK"))))</f>
        <v>Deadly</v>
      </c>
      <c r="I151" s="192"/>
    </row>
    <row r="152" spans="1:9" x14ac:dyDescent="0.25">
      <c r="A152" s="7">
        <v>5</v>
      </c>
      <c r="B152" s="1"/>
      <c r="C152" s="1"/>
      <c r="D152" s="1"/>
      <c r="E152" s="65">
        <f t="shared" si="33"/>
        <v>0</v>
      </c>
      <c r="F152" s="282" t="s">
        <v>868</v>
      </c>
      <c r="G152" s="283"/>
      <c r="H152" s="206">
        <f ca="1">H147/$J$2/PartyPower</f>
        <v>130</v>
      </c>
      <c r="I152" s="204"/>
    </row>
    <row r="153" spans="1:9" x14ac:dyDescent="0.25">
      <c r="A153" s="7">
        <v>6</v>
      </c>
      <c r="B153" s="1"/>
      <c r="C153" s="1"/>
      <c r="D153" s="1"/>
      <c r="E153" s="65">
        <f t="shared" si="33"/>
        <v>0</v>
      </c>
      <c r="F153" s="277" t="s">
        <v>869</v>
      </c>
      <c r="G153" s="278"/>
      <c r="H153" s="278" t="s">
        <v>43</v>
      </c>
      <c r="I153" s="279"/>
    </row>
    <row r="154" spans="1:9" x14ac:dyDescent="0.25">
      <c r="A154" s="7">
        <v>7</v>
      </c>
      <c r="B154" s="1"/>
      <c r="C154" s="1"/>
      <c r="D154" s="1"/>
      <c r="E154" s="65">
        <f t="shared" si="33"/>
        <v>0</v>
      </c>
      <c r="F154" s="277" t="s">
        <v>871</v>
      </c>
      <c r="G154" s="278"/>
      <c r="H154" s="280">
        <f ca="1">(H150+H132)*(IF(H153="yes",0,1))+H132</f>
        <v>15585.416666666666</v>
      </c>
      <c r="I154" s="281"/>
    </row>
    <row r="155" spans="1:9" x14ac:dyDescent="0.25">
      <c r="A155" s="7">
        <v>8</v>
      </c>
      <c r="B155" s="1"/>
      <c r="C155" s="1"/>
      <c r="D155" s="1"/>
      <c r="E155" s="65">
        <f t="shared" si="33"/>
        <v>0</v>
      </c>
      <c r="F155" s="199" t="s">
        <v>866</v>
      </c>
      <c r="G155" s="186"/>
      <c r="H155" s="276">
        <f ca="1">RecommendedBudgetSR-H154</f>
        <v>-13418.75</v>
      </c>
      <c r="I155" s="192"/>
    </row>
    <row r="156" spans="1:9" x14ac:dyDescent="0.25">
      <c r="A156" s="7">
        <v>9</v>
      </c>
      <c r="B156" s="1"/>
      <c r="C156" s="1"/>
      <c r="D156" s="1"/>
      <c r="E156" s="65">
        <f t="shared" si="33"/>
        <v>0</v>
      </c>
      <c r="F156" s="199" t="s">
        <v>877</v>
      </c>
      <c r="G156" s="186"/>
      <c r="H156" s="276">
        <f ca="1">H134-H150</f>
        <v>-252.60416666666697</v>
      </c>
      <c r="I156" s="192"/>
    </row>
    <row r="157" spans="1:9" x14ac:dyDescent="0.25">
      <c r="A157" s="7">
        <v>10</v>
      </c>
      <c r="B157" s="1"/>
      <c r="C157" s="1"/>
      <c r="D157" s="1"/>
      <c r="E157" s="65">
        <f t="shared" si="33"/>
        <v>0</v>
      </c>
      <c r="F157" s="20"/>
      <c r="G157" s="21"/>
      <c r="H157" s="21"/>
      <c r="I157" s="22"/>
    </row>
    <row r="158" spans="1:9" x14ac:dyDescent="0.25">
      <c r="A158" s="7">
        <v>11</v>
      </c>
      <c r="B158" s="1"/>
      <c r="C158" s="1"/>
      <c r="D158" s="1"/>
      <c r="E158" s="65">
        <f t="shared" si="33"/>
        <v>0</v>
      </c>
      <c r="F158" s="20"/>
      <c r="G158" s="21"/>
      <c r="H158" s="21"/>
      <c r="I158" s="22"/>
    </row>
    <row r="159" spans="1:9" x14ac:dyDescent="0.25">
      <c r="A159" s="7">
        <v>12</v>
      </c>
      <c r="B159" s="1"/>
      <c r="C159" s="1"/>
      <c r="D159" s="1"/>
      <c r="E159" s="65">
        <f t="shared" si="33"/>
        <v>0</v>
      </c>
      <c r="F159" s="20"/>
      <c r="G159" s="21"/>
      <c r="H159" s="21"/>
      <c r="I159" s="22"/>
    </row>
    <row r="160" spans="1:9" x14ac:dyDescent="0.25">
      <c r="A160" s="7">
        <v>13</v>
      </c>
      <c r="B160" s="1"/>
      <c r="C160" s="1"/>
      <c r="D160" s="1"/>
      <c r="E160" s="65">
        <f t="shared" si="33"/>
        <v>0</v>
      </c>
      <c r="F160" s="20"/>
      <c r="G160" s="21"/>
      <c r="H160" s="21"/>
      <c r="I160" s="22"/>
    </row>
    <row r="161" spans="1:9" x14ac:dyDescent="0.25">
      <c r="A161" s="7">
        <v>14</v>
      </c>
      <c r="B161" s="1"/>
      <c r="C161" s="1"/>
      <c r="D161" s="1"/>
      <c r="E161" s="65">
        <f t="shared" si="33"/>
        <v>0</v>
      </c>
      <c r="F161" s="20"/>
      <c r="G161" s="21"/>
      <c r="H161" s="21"/>
      <c r="I161" s="22"/>
    </row>
    <row r="162" spans="1:9" x14ac:dyDescent="0.25">
      <c r="A162" s="7">
        <v>15</v>
      </c>
      <c r="B162" s="1"/>
      <c r="C162" s="1"/>
      <c r="D162" s="1"/>
      <c r="E162" s="65">
        <f t="shared" si="33"/>
        <v>0</v>
      </c>
      <c r="F162" s="20"/>
      <c r="G162" s="21"/>
      <c r="H162" s="21"/>
      <c r="I162" s="22"/>
    </row>
    <row r="163" spans="1:9" x14ac:dyDescent="0.25">
      <c r="A163" s="7">
        <v>16</v>
      </c>
      <c r="B163" s="1"/>
      <c r="C163" s="1"/>
      <c r="D163" s="1"/>
      <c r="E163" s="65">
        <f t="shared" si="33"/>
        <v>0</v>
      </c>
      <c r="F163" s="20"/>
      <c r="G163" s="21"/>
      <c r="H163" s="21"/>
      <c r="I163" s="22"/>
    </row>
    <row r="164" spans="1:9" x14ac:dyDescent="0.25">
      <c r="A164" s="7">
        <v>17</v>
      </c>
      <c r="B164" s="1"/>
      <c r="C164" s="1"/>
      <c r="D164" s="1"/>
      <c r="E164" s="65">
        <f t="shared" si="33"/>
        <v>0</v>
      </c>
      <c r="F164" s="20"/>
      <c r="G164" s="21"/>
      <c r="H164" s="21"/>
      <c r="I164" s="22"/>
    </row>
    <row r="165" spans="1:9" x14ac:dyDescent="0.25">
      <c r="A165" s="7">
        <v>18</v>
      </c>
      <c r="B165" s="1"/>
      <c r="C165" s="1"/>
      <c r="D165" s="1"/>
      <c r="E165" s="65">
        <f t="shared" si="33"/>
        <v>0</v>
      </c>
      <c r="F165" s="20"/>
      <c r="G165" s="21"/>
      <c r="H165" s="21"/>
      <c r="I165" s="22"/>
    </row>
    <row r="166" spans="1:9" x14ac:dyDescent="0.25">
      <c r="A166" s="7">
        <v>19</v>
      </c>
      <c r="B166" s="1"/>
      <c r="C166" s="1"/>
      <c r="D166" s="1"/>
      <c r="E166" s="65">
        <f t="shared" si="33"/>
        <v>0</v>
      </c>
      <c r="F166" s="20"/>
      <c r="G166" s="21"/>
      <c r="H166" s="21"/>
      <c r="I166" s="22"/>
    </row>
    <row r="167" spans="1:9" ht="15.75" thickBot="1" x14ac:dyDescent="0.3">
      <c r="A167" s="11">
        <v>20</v>
      </c>
      <c r="B167" s="2"/>
      <c r="C167" s="2"/>
      <c r="D167" s="2"/>
      <c r="E167" s="77">
        <f t="shared" si="33"/>
        <v>0</v>
      </c>
      <c r="F167" s="23"/>
      <c r="G167" s="24"/>
      <c r="H167" s="24"/>
      <c r="I167" s="25"/>
    </row>
    <row r="168" spans="1:9" ht="15.75" thickBot="1" x14ac:dyDescent="0.3">
      <c r="A168" s="286" t="s">
        <v>881</v>
      </c>
      <c r="B168" s="287"/>
      <c r="C168" s="286"/>
      <c r="D168" s="287"/>
      <c r="E168" s="287"/>
      <c r="F168" s="287"/>
      <c r="G168" s="287"/>
      <c r="H168" s="287"/>
      <c r="I168" s="288"/>
    </row>
    <row r="169" spans="1:9" ht="15.75" thickBot="1" x14ac:dyDescent="0.3">
      <c r="A169" s="76" t="s">
        <v>16</v>
      </c>
      <c r="B169" s="59" t="s">
        <v>23</v>
      </c>
      <c r="C169" s="59" t="s">
        <v>24</v>
      </c>
      <c r="D169" s="59" t="s">
        <v>11</v>
      </c>
      <c r="E169" s="60" t="s">
        <v>1</v>
      </c>
      <c r="F169" s="282" t="s">
        <v>867</v>
      </c>
      <c r="G169" s="283"/>
      <c r="H169" s="206">
        <f ca="1">SUMPRODUCT(C170:C189,E170:E189)</f>
        <v>575</v>
      </c>
      <c r="I169" s="204"/>
    </row>
    <row r="170" spans="1:9" x14ac:dyDescent="0.25">
      <c r="A170" s="74">
        <v>1</v>
      </c>
      <c r="B170" s="1" t="str">
        <f ca="1">MonsterList!B9</f>
        <v>Kobold</v>
      </c>
      <c r="C170" s="3">
        <v>7</v>
      </c>
      <c r="D170" s="3">
        <f ca="1">IFERROR(INDEX(MonsterList!$C$3:$C$1000,MATCH(EncCalc!B170,MonsterList!$B$3:$B$1000,0),1),0)</f>
        <v>0.125</v>
      </c>
      <c r="E170" s="66">
        <f ca="1">200*D170</f>
        <v>25</v>
      </c>
      <c r="F170" s="284" t="s">
        <v>860</v>
      </c>
      <c r="G170" s="285"/>
      <c r="H170" s="186">
        <f>SUM(C170:C189)</f>
        <v>9</v>
      </c>
      <c r="I170" s="192"/>
    </row>
    <row r="171" spans="1:9" x14ac:dyDescent="0.25">
      <c r="A171" s="7">
        <v>2</v>
      </c>
      <c r="B171" s="1" t="str">
        <f ca="1">MonsterList!B13</f>
        <v>DragonClaw</v>
      </c>
      <c r="C171" s="1">
        <v>2</v>
      </c>
      <c r="D171" s="3">
        <f ca="1">IFERROR(INDEX(MonsterList!$C$3:$C$1000,MATCH(EncCalc!B171,MonsterList!$B$3:$B$1000,0),1),0)</f>
        <v>1</v>
      </c>
      <c r="E171" s="65">
        <f t="shared" ref="E171:E189" ca="1" si="34">200*D171</f>
        <v>200</v>
      </c>
      <c r="F171" s="284" t="s">
        <v>861</v>
      </c>
      <c r="G171" s="285"/>
      <c r="H171" s="186">
        <f>IFERROR(INDEX($AG$4:$AN$18,MATCH(H170,$AF$4:$AF$18,0),MATCH(NumberOfCharacters,$AG$3:$AN$3,0)),0)</f>
        <v>2.5833333333333335</v>
      </c>
      <c r="I171" s="192"/>
    </row>
    <row r="172" spans="1:9" x14ac:dyDescent="0.25">
      <c r="A172" s="7">
        <v>3</v>
      </c>
      <c r="B172" s="1"/>
      <c r="C172" s="1"/>
      <c r="D172" s="3">
        <f ca="1">IFERROR(INDEX(MonsterList!$C$3:$C$1000,MATCH(EncCalc!B172,MonsterList!$B$3:$B$1000,0),1),0)</f>
        <v>0</v>
      </c>
      <c r="E172" s="65">
        <f t="shared" ca="1" si="34"/>
        <v>0</v>
      </c>
      <c r="F172" s="199" t="s">
        <v>859</v>
      </c>
      <c r="G172" s="186"/>
      <c r="H172" s="186">
        <f ca="1">H171*H169/PartyPower</f>
        <v>742.70833333333337</v>
      </c>
      <c r="I172" s="192"/>
    </row>
    <row r="173" spans="1:9" ht="15.75" thickBot="1" x14ac:dyDescent="0.3">
      <c r="A173" s="7">
        <v>4</v>
      </c>
      <c r="B173" s="1"/>
      <c r="C173" s="1"/>
      <c r="D173" s="3">
        <f ca="1">IFERROR(INDEX(MonsterList!$C$3:$C$1000,MATCH(EncCalc!B173,MonsterList!$B$3:$B$1000,0),1),0)</f>
        <v>0</v>
      </c>
      <c r="E173" s="65">
        <f t="shared" ca="1" si="34"/>
        <v>0</v>
      </c>
      <c r="F173" s="199" t="s">
        <v>865</v>
      </c>
      <c r="G173" s="186"/>
      <c r="H173" s="186" t="str">
        <f ca="1">IF(H172&lt;$D$12,"Easy",IF(H172&lt;$E$12,"Medium",IF(H172&lt;$F$12,"Hard",IF(H172&lt;$G$12,"Deadly","TPK"))))</f>
        <v>Medium</v>
      </c>
      <c r="I173" s="192"/>
    </row>
    <row r="174" spans="1:9" x14ac:dyDescent="0.25">
      <c r="A174" s="7">
        <v>5</v>
      </c>
      <c r="B174" s="1"/>
      <c r="C174" s="1"/>
      <c r="D174" s="1"/>
      <c r="E174" s="65">
        <f t="shared" si="34"/>
        <v>0</v>
      </c>
      <c r="F174" s="282" t="s">
        <v>868</v>
      </c>
      <c r="G174" s="283"/>
      <c r="H174" s="206">
        <f ca="1">H169/$J$2/PartyPower</f>
        <v>57.5</v>
      </c>
      <c r="I174" s="204"/>
    </row>
    <row r="175" spans="1:9" x14ac:dyDescent="0.25">
      <c r="A175" s="7">
        <v>6</v>
      </c>
      <c r="B175" s="1"/>
      <c r="C175" s="1"/>
      <c r="D175" s="1"/>
      <c r="E175" s="65">
        <f t="shared" si="34"/>
        <v>0</v>
      </c>
      <c r="F175" s="277" t="s">
        <v>869</v>
      </c>
      <c r="G175" s="278"/>
      <c r="H175" s="278" t="s">
        <v>43</v>
      </c>
      <c r="I175" s="279"/>
    </row>
    <row r="176" spans="1:9" x14ac:dyDescent="0.25">
      <c r="A176" s="7">
        <v>7</v>
      </c>
      <c r="B176" s="1"/>
      <c r="C176" s="1"/>
      <c r="D176" s="1"/>
      <c r="E176" s="65">
        <f t="shared" si="34"/>
        <v>0</v>
      </c>
      <c r="F176" s="277" t="s">
        <v>871</v>
      </c>
      <c r="G176" s="278"/>
      <c r="H176" s="280">
        <f ca="1">(H172+H154)*(IF(H175="yes",0,1))+H154</f>
        <v>31913.541666666664</v>
      </c>
      <c r="I176" s="281"/>
    </row>
    <row r="177" spans="1:9" x14ac:dyDescent="0.25">
      <c r="A177" s="7">
        <v>8</v>
      </c>
      <c r="B177" s="1"/>
      <c r="C177" s="1"/>
      <c r="D177" s="1"/>
      <c r="E177" s="65">
        <f t="shared" si="34"/>
        <v>0</v>
      </c>
      <c r="F177" s="199" t="s">
        <v>866</v>
      </c>
      <c r="G177" s="186"/>
      <c r="H177" s="276">
        <f ca="1">RecommendedBudgetSR-H176</f>
        <v>-29746.874999999996</v>
      </c>
      <c r="I177" s="192"/>
    </row>
    <row r="178" spans="1:9" x14ac:dyDescent="0.25">
      <c r="A178" s="7">
        <v>9</v>
      </c>
      <c r="B178" s="1"/>
      <c r="C178" s="1"/>
      <c r="D178" s="1"/>
      <c r="E178" s="65">
        <f t="shared" si="34"/>
        <v>0</v>
      </c>
      <c r="F178" s="199" t="s">
        <v>877</v>
      </c>
      <c r="G178" s="186"/>
      <c r="H178" s="276">
        <f ca="1">H156-H172</f>
        <v>-995.31250000000034</v>
      </c>
      <c r="I178" s="192"/>
    </row>
    <row r="179" spans="1:9" x14ac:dyDescent="0.25">
      <c r="A179" s="7">
        <v>10</v>
      </c>
      <c r="B179" s="1"/>
      <c r="C179" s="1"/>
      <c r="D179" s="1"/>
      <c r="E179" s="65">
        <f t="shared" si="34"/>
        <v>0</v>
      </c>
      <c r="F179" s="20"/>
      <c r="G179" s="21"/>
      <c r="H179" s="21"/>
      <c r="I179" s="22"/>
    </row>
    <row r="180" spans="1:9" x14ac:dyDescent="0.25">
      <c r="A180" s="7">
        <v>11</v>
      </c>
      <c r="B180" s="1"/>
      <c r="C180" s="1"/>
      <c r="D180" s="1"/>
      <c r="E180" s="65">
        <f t="shared" si="34"/>
        <v>0</v>
      </c>
      <c r="F180" s="20"/>
      <c r="G180" s="21"/>
      <c r="H180" s="21"/>
      <c r="I180" s="22"/>
    </row>
    <row r="181" spans="1:9" x14ac:dyDescent="0.25">
      <c r="A181" s="7">
        <v>12</v>
      </c>
      <c r="B181" s="1"/>
      <c r="C181" s="1"/>
      <c r="D181" s="1"/>
      <c r="E181" s="65">
        <f t="shared" si="34"/>
        <v>0</v>
      </c>
      <c r="F181" s="20"/>
      <c r="G181" s="21"/>
      <c r="H181" s="21"/>
      <c r="I181" s="22"/>
    </row>
    <row r="182" spans="1:9" x14ac:dyDescent="0.25">
      <c r="A182" s="7">
        <v>13</v>
      </c>
      <c r="B182" s="1"/>
      <c r="C182" s="1"/>
      <c r="D182" s="1"/>
      <c r="E182" s="65">
        <f t="shared" si="34"/>
        <v>0</v>
      </c>
      <c r="F182" s="20"/>
      <c r="G182" s="21"/>
      <c r="H182" s="21"/>
      <c r="I182" s="22"/>
    </row>
    <row r="183" spans="1:9" x14ac:dyDescent="0.25">
      <c r="A183" s="7">
        <v>14</v>
      </c>
      <c r="B183" s="1"/>
      <c r="C183" s="1"/>
      <c r="D183" s="1"/>
      <c r="E183" s="65">
        <f t="shared" si="34"/>
        <v>0</v>
      </c>
      <c r="F183" s="20"/>
      <c r="G183" s="21"/>
      <c r="H183" s="21"/>
      <c r="I183" s="22"/>
    </row>
    <row r="184" spans="1:9" x14ac:dyDescent="0.25">
      <c r="A184" s="7">
        <v>15</v>
      </c>
      <c r="B184" s="1"/>
      <c r="C184" s="1"/>
      <c r="D184" s="1"/>
      <c r="E184" s="65">
        <f t="shared" si="34"/>
        <v>0</v>
      </c>
      <c r="F184" s="20"/>
      <c r="G184" s="21"/>
      <c r="H184" s="21"/>
      <c r="I184" s="22"/>
    </row>
    <row r="185" spans="1:9" x14ac:dyDescent="0.25">
      <c r="A185" s="7">
        <v>16</v>
      </c>
      <c r="B185" s="1"/>
      <c r="C185" s="1"/>
      <c r="D185" s="1"/>
      <c r="E185" s="65">
        <f t="shared" si="34"/>
        <v>0</v>
      </c>
      <c r="F185" s="20"/>
      <c r="G185" s="21"/>
      <c r="H185" s="21"/>
      <c r="I185" s="22"/>
    </row>
    <row r="186" spans="1:9" x14ac:dyDescent="0.25">
      <c r="A186" s="7">
        <v>17</v>
      </c>
      <c r="B186" s="1"/>
      <c r="C186" s="1"/>
      <c r="D186" s="1"/>
      <c r="E186" s="65">
        <f t="shared" si="34"/>
        <v>0</v>
      </c>
      <c r="F186" s="20"/>
      <c r="G186" s="21"/>
      <c r="H186" s="21"/>
      <c r="I186" s="22"/>
    </row>
    <row r="187" spans="1:9" x14ac:dyDescent="0.25">
      <c r="A187" s="7">
        <v>18</v>
      </c>
      <c r="B187" s="1"/>
      <c r="C187" s="1"/>
      <c r="D187" s="1"/>
      <c r="E187" s="65">
        <f t="shared" si="34"/>
        <v>0</v>
      </c>
      <c r="F187" s="20"/>
      <c r="G187" s="21"/>
      <c r="H187" s="21"/>
      <c r="I187" s="22"/>
    </row>
    <row r="188" spans="1:9" x14ac:dyDescent="0.25">
      <c r="A188" s="7">
        <v>19</v>
      </c>
      <c r="B188" s="1"/>
      <c r="C188" s="1"/>
      <c r="D188" s="1"/>
      <c r="E188" s="65">
        <f t="shared" si="34"/>
        <v>0</v>
      </c>
      <c r="F188" s="20"/>
      <c r="G188" s="21"/>
      <c r="H188" s="21"/>
      <c r="I188" s="22"/>
    </row>
    <row r="189" spans="1:9" ht="15.75" thickBot="1" x14ac:dyDescent="0.3">
      <c r="A189" s="11">
        <v>20</v>
      </c>
      <c r="B189" s="2"/>
      <c r="C189" s="2"/>
      <c r="D189" s="2"/>
      <c r="E189" s="77">
        <f t="shared" si="34"/>
        <v>0</v>
      </c>
      <c r="F189" s="23"/>
      <c r="G189" s="24"/>
      <c r="H189" s="24"/>
      <c r="I189" s="25"/>
    </row>
    <row r="190" spans="1:9" ht="15.75" thickBot="1" x14ac:dyDescent="0.3">
      <c r="A190" s="286" t="s">
        <v>882</v>
      </c>
      <c r="B190" s="287"/>
      <c r="C190" s="286"/>
      <c r="D190" s="287"/>
      <c r="E190" s="287"/>
      <c r="F190" s="287"/>
      <c r="G190" s="287"/>
      <c r="H190" s="287"/>
      <c r="I190" s="288"/>
    </row>
    <row r="191" spans="1:9" ht="15.75" thickBot="1" x14ac:dyDescent="0.3">
      <c r="A191" s="76" t="s">
        <v>16</v>
      </c>
      <c r="B191" s="59" t="s">
        <v>23</v>
      </c>
      <c r="C191" s="59" t="s">
        <v>24</v>
      </c>
      <c r="D191" s="59" t="s">
        <v>11</v>
      </c>
      <c r="E191" s="60" t="s">
        <v>1</v>
      </c>
      <c r="F191" s="282" t="s">
        <v>867</v>
      </c>
      <c r="G191" s="283"/>
      <c r="H191" s="206">
        <f ca="1">SUMPRODUCT(C192:C211,E192:E211)</f>
        <v>0</v>
      </c>
      <c r="I191" s="204"/>
    </row>
    <row r="192" spans="1:9" x14ac:dyDescent="0.25">
      <c r="A192" s="74">
        <v>1</v>
      </c>
      <c r="B192" s="1"/>
      <c r="C192" s="3"/>
      <c r="D192" s="3">
        <f ca="1">IFERROR(INDEX(MonsterList!$C$3:$C$1000,MATCH(EncCalc!B192,MonsterList!$B$3:$B$1000,0),1),0)</f>
        <v>0</v>
      </c>
      <c r="E192" s="66">
        <f ca="1">200*D192</f>
        <v>0</v>
      </c>
      <c r="F192" s="284" t="s">
        <v>860</v>
      </c>
      <c r="G192" s="285"/>
      <c r="H192" s="186">
        <f>SUM(C192:C211)</f>
        <v>0</v>
      </c>
      <c r="I192" s="192"/>
    </row>
    <row r="193" spans="1:9" x14ac:dyDescent="0.25">
      <c r="A193" s="7">
        <v>2</v>
      </c>
      <c r="B193" s="1"/>
      <c r="C193" s="1"/>
      <c r="D193" s="3">
        <f ca="1">IFERROR(INDEX(MonsterList!$C$3:$C$1000,MATCH(EncCalc!B193,MonsterList!$B$3:$B$1000,0),1),0)</f>
        <v>0</v>
      </c>
      <c r="E193" s="65">
        <f t="shared" ref="E193:E211" ca="1" si="35">200*D193</f>
        <v>0</v>
      </c>
      <c r="F193" s="284" t="s">
        <v>861</v>
      </c>
      <c r="G193" s="285"/>
      <c r="H193" s="186">
        <f>IFERROR(INDEX($AG$4:$AN$18,MATCH(H192,$AF$4:$AF$18,0),MATCH(NumberOfCharacters,$AG$3:$AN$3,0)),0)</f>
        <v>0</v>
      </c>
      <c r="I193" s="192"/>
    </row>
    <row r="194" spans="1:9" x14ac:dyDescent="0.25">
      <c r="A194" s="7">
        <v>3</v>
      </c>
      <c r="B194" s="1"/>
      <c r="C194" s="1"/>
      <c r="D194" s="3">
        <f ca="1">IFERROR(INDEX(MonsterList!$C$3:$C$1000,MATCH(EncCalc!B194,MonsterList!$B$3:$B$1000,0),1),0)</f>
        <v>0</v>
      </c>
      <c r="E194" s="65">
        <f t="shared" ca="1" si="35"/>
        <v>0</v>
      </c>
      <c r="F194" s="199" t="s">
        <v>859</v>
      </c>
      <c r="G194" s="186"/>
      <c r="H194" s="186">
        <f ca="1">H193*H191/PartyPower</f>
        <v>0</v>
      </c>
      <c r="I194" s="192"/>
    </row>
    <row r="195" spans="1:9" ht="15.75" thickBot="1" x14ac:dyDescent="0.3">
      <c r="A195" s="7">
        <v>4</v>
      </c>
      <c r="B195" s="1"/>
      <c r="C195" s="1"/>
      <c r="D195" s="3">
        <f ca="1">IFERROR(INDEX(MonsterList!$C$3:$C$1000,MATCH(EncCalc!B195,MonsterList!$B$3:$B$1000,0),1),0)</f>
        <v>0</v>
      </c>
      <c r="E195" s="65">
        <f t="shared" ca="1" si="35"/>
        <v>0</v>
      </c>
      <c r="F195" s="199" t="s">
        <v>865</v>
      </c>
      <c r="G195" s="186"/>
      <c r="H195" s="186" t="str">
        <f ca="1">IF(H194&lt;$D$12,"Easy",IF(H194&lt;$E$12,"Medium",IF(H194&lt;$F$12,"Hard",IF(H194&lt;$G$12,"Deadly","TPK"))))</f>
        <v>Easy</v>
      </c>
      <c r="I195" s="192"/>
    </row>
    <row r="196" spans="1:9" x14ac:dyDescent="0.25">
      <c r="A196" s="7">
        <v>5</v>
      </c>
      <c r="B196" s="1"/>
      <c r="C196" s="1"/>
      <c r="D196" s="1"/>
      <c r="E196" s="65">
        <f t="shared" si="35"/>
        <v>0</v>
      </c>
      <c r="F196" s="282" t="s">
        <v>868</v>
      </c>
      <c r="G196" s="283"/>
      <c r="H196" s="206">
        <f ca="1">H191/$J$2/PartyPower</f>
        <v>0</v>
      </c>
      <c r="I196" s="204"/>
    </row>
    <row r="197" spans="1:9" x14ac:dyDescent="0.25">
      <c r="A197" s="7">
        <v>6</v>
      </c>
      <c r="B197" s="1"/>
      <c r="C197" s="1"/>
      <c r="D197" s="1"/>
      <c r="E197" s="65">
        <f t="shared" si="35"/>
        <v>0</v>
      </c>
      <c r="F197" s="277" t="s">
        <v>869</v>
      </c>
      <c r="G197" s="278"/>
      <c r="H197" s="278" t="s">
        <v>43</v>
      </c>
      <c r="I197" s="279"/>
    </row>
    <row r="198" spans="1:9" x14ac:dyDescent="0.25">
      <c r="A198" s="7">
        <v>7</v>
      </c>
      <c r="B198" s="1"/>
      <c r="C198" s="1"/>
      <c r="D198" s="1"/>
      <c r="E198" s="65">
        <f t="shared" si="35"/>
        <v>0</v>
      </c>
      <c r="F198" s="277" t="s">
        <v>871</v>
      </c>
      <c r="G198" s="278"/>
      <c r="H198" s="280">
        <f ca="1">(H194+H176)*(IF(H197="yes",0,1))+H176</f>
        <v>63827.083333333328</v>
      </c>
      <c r="I198" s="281"/>
    </row>
    <row r="199" spans="1:9" x14ac:dyDescent="0.25">
      <c r="A199" s="7">
        <v>8</v>
      </c>
      <c r="B199" s="1"/>
      <c r="C199" s="1"/>
      <c r="D199" s="1"/>
      <c r="E199" s="65">
        <f t="shared" si="35"/>
        <v>0</v>
      </c>
      <c r="F199" s="199" t="s">
        <v>866</v>
      </c>
      <c r="G199" s="186"/>
      <c r="H199" s="276">
        <f ca="1">RecommendedBudgetSR-H198</f>
        <v>-61660.416666666664</v>
      </c>
      <c r="I199" s="192"/>
    </row>
    <row r="200" spans="1:9" x14ac:dyDescent="0.25">
      <c r="A200" s="7">
        <v>9</v>
      </c>
      <c r="B200" s="1"/>
      <c r="C200" s="1"/>
      <c r="D200" s="1"/>
      <c r="E200" s="65">
        <f t="shared" si="35"/>
        <v>0</v>
      </c>
      <c r="F200" s="199" t="s">
        <v>877</v>
      </c>
      <c r="G200" s="186"/>
      <c r="H200" s="276">
        <f ca="1">H178-H194</f>
        <v>-995.31250000000034</v>
      </c>
      <c r="I200" s="192"/>
    </row>
    <row r="201" spans="1:9" x14ac:dyDescent="0.25">
      <c r="A201" s="7">
        <v>10</v>
      </c>
      <c r="B201" s="1"/>
      <c r="C201" s="1"/>
      <c r="D201" s="1"/>
      <c r="E201" s="65">
        <f t="shared" si="35"/>
        <v>0</v>
      </c>
      <c r="F201" s="20"/>
      <c r="G201" s="21"/>
      <c r="H201" s="21"/>
      <c r="I201" s="22"/>
    </row>
    <row r="202" spans="1:9" x14ac:dyDescent="0.25">
      <c r="A202" s="7">
        <v>11</v>
      </c>
      <c r="B202" s="1"/>
      <c r="C202" s="1"/>
      <c r="D202" s="1"/>
      <c r="E202" s="65">
        <f t="shared" si="35"/>
        <v>0</v>
      </c>
      <c r="F202" s="20"/>
      <c r="G202" s="21"/>
      <c r="H202" s="21"/>
      <c r="I202" s="22"/>
    </row>
    <row r="203" spans="1:9" x14ac:dyDescent="0.25">
      <c r="A203" s="7">
        <v>12</v>
      </c>
      <c r="B203" s="1"/>
      <c r="C203" s="1"/>
      <c r="D203" s="1"/>
      <c r="E203" s="65">
        <f t="shared" si="35"/>
        <v>0</v>
      </c>
      <c r="F203" s="20"/>
      <c r="G203" s="21"/>
      <c r="H203" s="21"/>
      <c r="I203" s="22"/>
    </row>
    <row r="204" spans="1:9" x14ac:dyDescent="0.25">
      <c r="A204" s="7">
        <v>13</v>
      </c>
      <c r="B204" s="1"/>
      <c r="C204" s="1"/>
      <c r="D204" s="1"/>
      <c r="E204" s="65">
        <f t="shared" si="35"/>
        <v>0</v>
      </c>
      <c r="F204" s="20"/>
      <c r="G204" s="21"/>
      <c r="H204" s="21"/>
      <c r="I204" s="22"/>
    </row>
    <row r="205" spans="1:9" x14ac:dyDescent="0.25">
      <c r="A205" s="7">
        <v>14</v>
      </c>
      <c r="B205" s="1"/>
      <c r="C205" s="1"/>
      <c r="D205" s="1"/>
      <c r="E205" s="65">
        <f t="shared" si="35"/>
        <v>0</v>
      </c>
      <c r="F205" s="20"/>
      <c r="G205" s="21"/>
      <c r="H205" s="21"/>
      <c r="I205" s="22"/>
    </row>
    <row r="206" spans="1:9" x14ac:dyDescent="0.25">
      <c r="A206" s="7">
        <v>15</v>
      </c>
      <c r="B206" s="1"/>
      <c r="C206" s="1"/>
      <c r="D206" s="1"/>
      <c r="E206" s="65">
        <f t="shared" si="35"/>
        <v>0</v>
      </c>
      <c r="F206" s="20"/>
      <c r="G206" s="21"/>
      <c r="H206" s="21"/>
      <c r="I206" s="22"/>
    </row>
    <row r="207" spans="1:9" x14ac:dyDescent="0.25">
      <c r="A207" s="7">
        <v>16</v>
      </c>
      <c r="B207" s="1"/>
      <c r="C207" s="1"/>
      <c r="D207" s="1"/>
      <c r="E207" s="65">
        <f t="shared" si="35"/>
        <v>0</v>
      </c>
      <c r="F207" s="20"/>
      <c r="G207" s="21"/>
      <c r="H207" s="21"/>
      <c r="I207" s="22"/>
    </row>
    <row r="208" spans="1:9" x14ac:dyDescent="0.25">
      <c r="A208" s="7">
        <v>17</v>
      </c>
      <c r="B208" s="1"/>
      <c r="C208" s="1"/>
      <c r="D208" s="1"/>
      <c r="E208" s="65">
        <f t="shared" si="35"/>
        <v>0</v>
      </c>
      <c r="F208" s="20"/>
      <c r="G208" s="21"/>
      <c r="H208" s="21"/>
      <c r="I208" s="22"/>
    </row>
    <row r="209" spans="1:9" x14ac:dyDescent="0.25">
      <c r="A209" s="7">
        <v>18</v>
      </c>
      <c r="B209" s="1"/>
      <c r="C209" s="1"/>
      <c r="D209" s="1"/>
      <c r="E209" s="65">
        <f t="shared" si="35"/>
        <v>0</v>
      </c>
      <c r="F209" s="20"/>
      <c r="G209" s="21"/>
      <c r="H209" s="21"/>
      <c r="I209" s="22"/>
    </row>
    <row r="210" spans="1:9" x14ac:dyDescent="0.25">
      <c r="A210" s="7">
        <v>19</v>
      </c>
      <c r="B210" s="1"/>
      <c r="C210" s="1"/>
      <c r="D210" s="1"/>
      <c r="E210" s="65">
        <f t="shared" si="35"/>
        <v>0</v>
      </c>
      <c r="F210" s="20"/>
      <c r="G210" s="21"/>
      <c r="H210" s="21"/>
      <c r="I210" s="22"/>
    </row>
    <row r="211" spans="1:9" ht="15.75" thickBot="1" x14ac:dyDescent="0.3">
      <c r="A211" s="11">
        <v>20</v>
      </c>
      <c r="B211" s="2"/>
      <c r="C211" s="2"/>
      <c r="D211" s="2"/>
      <c r="E211" s="77">
        <f t="shared" si="35"/>
        <v>0</v>
      </c>
      <c r="F211" s="23"/>
      <c r="G211" s="24"/>
      <c r="H211" s="24"/>
      <c r="I211" s="25"/>
    </row>
    <row r="212" spans="1:9" ht="15.75" thickBot="1" x14ac:dyDescent="0.3">
      <c r="A212" s="286" t="s">
        <v>883</v>
      </c>
      <c r="B212" s="287"/>
      <c r="C212" s="286"/>
      <c r="D212" s="287"/>
      <c r="E212" s="287"/>
      <c r="F212" s="287"/>
      <c r="G212" s="287"/>
      <c r="H212" s="287"/>
      <c r="I212" s="288"/>
    </row>
    <row r="213" spans="1:9" ht="15.75" thickBot="1" x14ac:dyDescent="0.3">
      <c r="A213" s="76" t="s">
        <v>16</v>
      </c>
      <c r="B213" s="59" t="s">
        <v>23</v>
      </c>
      <c r="C213" s="59" t="s">
        <v>24</v>
      </c>
      <c r="D213" s="59" t="s">
        <v>11</v>
      </c>
      <c r="E213" s="60" t="s">
        <v>1</v>
      </c>
      <c r="F213" s="282" t="s">
        <v>867</v>
      </c>
      <c r="G213" s="283"/>
      <c r="H213" s="206">
        <f ca="1">SUMPRODUCT(C214:C233,E214:E233)</f>
        <v>1600</v>
      </c>
      <c r="I213" s="204"/>
    </row>
    <row r="214" spans="1:9" x14ac:dyDescent="0.25">
      <c r="A214" s="74">
        <v>1</v>
      </c>
      <c r="B214" s="1" t="str">
        <f ca="1">MonsterList!B23</f>
        <v>Cult Prison Guard (half-dragon)</v>
      </c>
      <c r="C214" s="3">
        <v>1</v>
      </c>
      <c r="D214" s="3">
        <f ca="1">IFERROR(INDEX(MonsterList!$C$3:$C$1000,MATCH(EncCalc!B214,MonsterList!$B$3:$B$1000,0),1),0)</f>
        <v>4</v>
      </c>
      <c r="E214" s="66">
        <f ca="1">200*D214</f>
        <v>800</v>
      </c>
      <c r="F214" s="284" t="s">
        <v>860</v>
      </c>
      <c r="G214" s="285"/>
      <c r="H214" s="186">
        <f>SUM(C214:C233)</f>
        <v>3</v>
      </c>
      <c r="I214" s="192"/>
    </row>
    <row r="215" spans="1:9" x14ac:dyDescent="0.25">
      <c r="A215" s="7">
        <v>2</v>
      </c>
      <c r="B215" s="1" t="str">
        <f ca="1">MonsterList!B5</f>
        <v>Berserker</v>
      </c>
      <c r="C215" s="1">
        <v>2</v>
      </c>
      <c r="D215" s="3">
        <f ca="1">IFERROR(INDEX(MonsterList!$C$3:$C$1000,MATCH(EncCalc!B215,MonsterList!$B$3:$B$1000,0),1),0)</f>
        <v>2</v>
      </c>
      <c r="E215" s="65">
        <f t="shared" ref="E215:E233" ca="1" si="36">200*D215</f>
        <v>400</v>
      </c>
      <c r="F215" s="284" t="s">
        <v>861</v>
      </c>
      <c r="G215" s="285"/>
      <c r="H215" s="186">
        <f>IFERROR(INDEX($AG$4:$AN$18,MATCH(H214,$AF$4:$AF$18,0),MATCH(NumberOfCharacters,$AG$3:$AN$3,0)),0)</f>
        <v>1.8333333333333333</v>
      </c>
      <c r="I215" s="192"/>
    </row>
    <row r="216" spans="1:9" x14ac:dyDescent="0.25">
      <c r="A216" s="7">
        <v>3</v>
      </c>
      <c r="B216" s="1"/>
      <c r="C216" s="1"/>
      <c r="D216" s="3">
        <f ca="1">IFERROR(INDEX(MonsterList!$C$3:$C$1000,MATCH(EncCalc!B216,MonsterList!$B$3:$B$1000,0),1),0)</f>
        <v>0</v>
      </c>
      <c r="E216" s="65">
        <f t="shared" ca="1" si="36"/>
        <v>0</v>
      </c>
      <c r="F216" s="199" t="s">
        <v>859</v>
      </c>
      <c r="G216" s="186"/>
      <c r="H216" s="186">
        <f ca="1">H215*H213/PartyPower</f>
        <v>1466.6666666666665</v>
      </c>
      <c r="I216" s="192"/>
    </row>
    <row r="217" spans="1:9" ht="15.75" thickBot="1" x14ac:dyDescent="0.3">
      <c r="A217" s="7">
        <v>4</v>
      </c>
      <c r="B217" s="1"/>
      <c r="C217" s="1"/>
      <c r="D217" s="3">
        <f ca="1">IFERROR(INDEX(MonsterList!$C$3:$C$1000,MATCH(EncCalc!B217,MonsterList!$B$3:$B$1000,0),1),0)</f>
        <v>0</v>
      </c>
      <c r="E217" s="65">
        <f t="shared" ca="1" si="36"/>
        <v>0</v>
      </c>
      <c r="F217" s="199" t="s">
        <v>865</v>
      </c>
      <c r="G217" s="186"/>
      <c r="H217" s="186" t="str">
        <f ca="1">IF(H216&lt;$D$12,"Easy",IF(H216&lt;$E$12,"Medium",IF(H216&lt;$F$12,"Hard",IF(H216&lt;$G$12,"Deadly","TPK"))))</f>
        <v>Deadly</v>
      </c>
      <c r="I217" s="192"/>
    </row>
    <row r="218" spans="1:9" x14ac:dyDescent="0.25">
      <c r="A218" s="7">
        <v>5</v>
      </c>
      <c r="B218" s="1"/>
      <c r="C218" s="1"/>
      <c r="D218" s="1"/>
      <c r="E218" s="65">
        <f t="shared" si="36"/>
        <v>0</v>
      </c>
      <c r="F218" s="282" t="s">
        <v>868</v>
      </c>
      <c r="G218" s="283"/>
      <c r="H218" s="206">
        <f ca="1">H213/$J$2/PartyPower</f>
        <v>160</v>
      </c>
      <c r="I218" s="204"/>
    </row>
    <row r="219" spans="1:9" x14ac:dyDescent="0.25">
      <c r="A219" s="7">
        <v>6</v>
      </c>
      <c r="B219" s="1"/>
      <c r="C219" s="1"/>
      <c r="D219" s="1"/>
      <c r="E219" s="65">
        <f t="shared" si="36"/>
        <v>0</v>
      </c>
      <c r="F219" s="277" t="s">
        <v>869</v>
      </c>
      <c r="G219" s="278"/>
      <c r="H219" s="278" t="s">
        <v>43</v>
      </c>
      <c r="I219" s="279"/>
    </row>
    <row r="220" spans="1:9" x14ac:dyDescent="0.25">
      <c r="A220" s="7">
        <v>7</v>
      </c>
      <c r="B220" s="1"/>
      <c r="C220" s="1"/>
      <c r="D220" s="1"/>
      <c r="E220" s="65">
        <f t="shared" si="36"/>
        <v>0</v>
      </c>
      <c r="F220" s="277" t="s">
        <v>871</v>
      </c>
      <c r="G220" s="278"/>
      <c r="H220" s="280">
        <f ca="1">(H216+H198)*(IF(H219="yes",0,1))+H198</f>
        <v>129120.83333333331</v>
      </c>
      <c r="I220" s="281"/>
    </row>
    <row r="221" spans="1:9" x14ac:dyDescent="0.25">
      <c r="A221" s="7">
        <v>8</v>
      </c>
      <c r="B221" s="1"/>
      <c r="C221" s="1"/>
      <c r="D221" s="1"/>
      <c r="E221" s="65">
        <f t="shared" si="36"/>
        <v>0</v>
      </c>
      <c r="F221" s="199" t="s">
        <v>866</v>
      </c>
      <c r="G221" s="186"/>
      <c r="H221" s="276">
        <f ca="1">RecommendedBudgetSR-H220</f>
        <v>-126954.16666666664</v>
      </c>
      <c r="I221" s="192"/>
    </row>
    <row r="222" spans="1:9" x14ac:dyDescent="0.25">
      <c r="A222" s="7">
        <v>9</v>
      </c>
      <c r="B222" s="1"/>
      <c r="C222" s="1"/>
      <c r="D222" s="1"/>
      <c r="E222" s="65">
        <f t="shared" si="36"/>
        <v>0</v>
      </c>
      <c r="F222" s="199" t="s">
        <v>877</v>
      </c>
      <c r="G222" s="186"/>
      <c r="H222" s="276">
        <f ca="1">H200-H216</f>
        <v>-2461.979166666667</v>
      </c>
      <c r="I222" s="192"/>
    </row>
    <row r="223" spans="1:9" x14ac:dyDescent="0.25">
      <c r="A223" s="7">
        <v>10</v>
      </c>
      <c r="B223" s="1"/>
      <c r="C223" s="1"/>
      <c r="D223" s="1"/>
      <c r="E223" s="65">
        <f t="shared" si="36"/>
        <v>0</v>
      </c>
      <c r="F223" s="20"/>
      <c r="G223" s="21"/>
      <c r="H223" s="21"/>
      <c r="I223" s="22"/>
    </row>
    <row r="224" spans="1:9" x14ac:dyDescent="0.25">
      <c r="A224" s="7">
        <v>11</v>
      </c>
      <c r="B224" s="1"/>
      <c r="C224" s="1"/>
      <c r="D224" s="1"/>
      <c r="E224" s="65">
        <f t="shared" si="36"/>
        <v>0</v>
      </c>
      <c r="F224" s="20"/>
      <c r="G224" s="21"/>
      <c r="H224" s="21"/>
      <c r="I224" s="22"/>
    </row>
    <row r="225" spans="1:9" x14ac:dyDescent="0.25">
      <c r="A225" s="7">
        <v>12</v>
      </c>
      <c r="B225" s="1"/>
      <c r="C225" s="1"/>
      <c r="D225" s="1"/>
      <c r="E225" s="65">
        <f t="shared" si="36"/>
        <v>0</v>
      </c>
      <c r="F225" s="20"/>
      <c r="G225" s="21"/>
      <c r="H225" s="21"/>
      <c r="I225" s="22"/>
    </row>
    <row r="226" spans="1:9" x14ac:dyDescent="0.25">
      <c r="A226" s="7">
        <v>13</v>
      </c>
      <c r="B226" s="1"/>
      <c r="C226" s="1"/>
      <c r="D226" s="1"/>
      <c r="E226" s="65">
        <f t="shared" si="36"/>
        <v>0</v>
      </c>
      <c r="F226" s="20"/>
      <c r="G226" s="21"/>
      <c r="H226" s="21"/>
      <c r="I226" s="22"/>
    </row>
    <row r="227" spans="1:9" x14ac:dyDescent="0.25">
      <c r="A227" s="7">
        <v>14</v>
      </c>
      <c r="B227" s="1"/>
      <c r="C227" s="1"/>
      <c r="D227" s="1"/>
      <c r="E227" s="65">
        <f t="shared" si="36"/>
        <v>0</v>
      </c>
      <c r="F227" s="20"/>
      <c r="G227" s="21"/>
      <c r="H227" s="21"/>
      <c r="I227" s="22"/>
    </row>
    <row r="228" spans="1:9" x14ac:dyDescent="0.25">
      <c r="A228" s="7">
        <v>15</v>
      </c>
      <c r="B228" s="1"/>
      <c r="C228" s="1"/>
      <c r="D228" s="1"/>
      <c r="E228" s="65">
        <f t="shared" si="36"/>
        <v>0</v>
      </c>
      <c r="F228" s="20"/>
      <c r="G228" s="21"/>
      <c r="H228" s="21"/>
      <c r="I228" s="22"/>
    </row>
    <row r="229" spans="1:9" x14ac:dyDescent="0.25">
      <c r="A229" s="7">
        <v>16</v>
      </c>
      <c r="B229" s="1"/>
      <c r="C229" s="1"/>
      <c r="D229" s="1"/>
      <c r="E229" s="65">
        <f t="shared" si="36"/>
        <v>0</v>
      </c>
      <c r="F229" s="20"/>
      <c r="G229" s="21"/>
      <c r="H229" s="21"/>
      <c r="I229" s="22"/>
    </row>
    <row r="230" spans="1:9" x14ac:dyDescent="0.25">
      <c r="A230" s="7">
        <v>17</v>
      </c>
      <c r="B230" s="1"/>
      <c r="C230" s="1"/>
      <c r="D230" s="1"/>
      <c r="E230" s="65">
        <f t="shared" si="36"/>
        <v>0</v>
      </c>
      <c r="F230" s="20"/>
      <c r="G230" s="21"/>
      <c r="H230" s="21"/>
      <c r="I230" s="22"/>
    </row>
    <row r="231" spans="1:9" x14ac:dyDescent="0.25">
      <c r="A231" s="7">
        <v>18</v>
      </c>
      <c r="B231" s="1"/>
      <c r="C231" s="1"/>
      <c r="D231" s="1"/>
      <c r="E231" s="65">
        <f t="shared" si="36"/>
        <v>0</v>
      </c>
      <c r="F231" s="20"/>
      <c r="G231" s="21"/>
      <c r="H231" s="21"/>
      <c r="I231" s="22"/>
    </row>
    <row r="232" spans="1:9" x14ac:dyDescent="0.25">
      <c r="A232" s="7">
        <v>19</v>
      </c>
      <c r="B232" s="1"/>
      <c r="C232" s="1"/>
      <c r="D232" s="1"/>
      <c r="E232" s="65">
        <f t="shared" si="36"/>
        <v>0</v>
      </c>
      <c r="F232" s="20"/>
      <c r="G232" s="21"/>
      <c r="H232" s="21"/>
      <c r="I232" s="22"/>
    </row>
    <row r="233" spans="1:9" ht="15.75" thickBot="1" x14ac:dyDescent="0.3">
      <c r="A233" s="11">
        <v>20</v>
      </c>
      <c r="B233" s="2"/>
      <c r="C233" s="2"/>
      <c r="D233" s="2"/>
      <c r="E233" s="77">
        <f t="shared" si="36"/>
        <v>0</v>
      </c>
      <c r="F233" s="23"/>
      <c r="G233" s="24"/>
      <c r="H233" s="24"/>
      <c r="I233" s="25"/>
    </row>
  </sheetData>
  <mergeCells count="222">
    <mergeCell ref="A14:B14"/>
    <mergeCell ref="C14:I14"/>
    <mergeCell ref="H15:I15"/>
    <mergeCell ref="F20:G20"/>
    <mergeCell ref="H20:I20"/>
    <mergeCell ref="AF2:AF3"/>
    <mergeCell ref="AG2:AN2"/>
    <mergeCell ref="F22:G22"/>
    <mergeCell ref="H22:I22"/>
    <mergeCell ref="F18:G18"/>
    <mergeCell ref="F16:G16"/>
    <mergeCell ref="H16:I16"/>
    <mergeCell ref="F17:G17"/>
    <mergeCell ref="H17:I17"/>
    <mergeCell ref="H18:I18"/>
    <mergeCell ref="F19:G19"/>
    <mergeCell ref="A36:B36"/>
    <mergeCell ref="C36:I36"/>
    <mergeCell ref="F37:G37"/>
    <mergeCell ref="H37:I37"/>
    <mergeCell ref="F38:G38"/>
    <mergeCell ref="H38:I38"/>
    <mergeCell ref="H19:I19"/>
    <mergeCell ref="F15:G15"/>
    <mergeCell ref="F21:G21"/>
    <mergeCell ref="H21:I21"/>
    <mergeCell ref="F23:G23"/>
    <mergeCell ref="H23:I23"/>
    <mergeCell ref="F24:G24"/>
    <mergeCell ref="H24:I24"/>
    <mergeCell ref="A58:B58"/>
    <mergeCell ref="C58:I58"/>
    <mergeCell ref="F59:G59"/>
    <mergeCell ref="H59:I59"/>
    <mergeCell ref="F42:G42"/>
    <mergeCell ref="H42:I42"/>
    <mergeCell ref="F43:G43"/>
    <mergeCell ref="H43:I43"/>
    <mergeCell ref="F44:G44"/>
    <mergeCell ref="H44:I44"/>
    <mergeCell ref="F46:G46"/>
    <mergeCell ref="H46:I46"/>
    <mergeCell ref="F45:G45"/>
    <mergeCell ref="H45:I45"/>
    <mergeCell ref="F60:G60"/>
    <mergeCell ref="H60:I60"/>
    <mergeCell ref="F61:G61"/>
    <mergeCell ref="H61:I61"/>
    <mergeCell ref="F62:G62"/>
    <mergeCell ref="H62:I62"/>
    <mergeCell ref="F68:G68"/>
    <mergeCell ref="H68:I68"/>
    <mergeCell ref="F66:G66"/>
    <mergeCell ref="H66:I66"/>
    <mergeCell ref="F67:G67"/>
    <mergeCell ref="H67:I67"/>
    <mergeCell ref="F87:G87"/>
    <mergeCell ref="H87:I87"/>
    <mergeCell ref="F88:G88"/>
    <mergeCell ref="H88:I88"/>
    <mergeCell ref="A80:B80"/>
    <mergeCell ref="C80:I80"/>
    <mergeCell ref="F63:G63"/>
    <mergeCell ref="H63:I63"/>
    <mergeCell ref="F64:G64"/>
    <mergeCell ref="H64:I64"/>
    <mergeCell ref="F65:G65"/>
    <mergeCell ref="H65:I65"/>
    <mergeCell ref="F39:G39"/>
    <mergeCell ref="H39:I39"/>
    <mergeCell ref="F40:G40"/>
    <mergeCell ref="H40:I40"/>
    <mergeCell ref="F41:G41"/>
    <mergeCell ref="H41:I41"/>
    <mergeCell ref="F104:G104"/>
    <mergeCell ref="H104:I104"/>
    <mergeCell ref="F105:G105"/>
    <mergeCell ref="H105:I105"/>
    <mergeCell ref="F89:G89"/>
    <mergeCell ref="H89:I89"/>
    <mergeCell ref="F84:G84"/>
    <mergeCell ref="H84:I84"/>
    <mergeCell ref="F85:G85"/>
    <mergeCell ref="H85:I85"/>
    <mergeCell ref="F86:G86"/>
    <mergeCell ref="H86:I86"/>
    <mergeCell ref="F81:G81"/>
    <mergeCell ref="H81:I81"/>
    <mergeCell ref="F82:G82"/>
    <mergeCell ref="H82:I82"/>
    <mergeCell ref="F83:G83"/>
    <mergeCell ref="H83:I83"/>
    <mergeCell ref="F106:G106"/>
    <mergeCell ref="H106:I106"/>
    <mergeCell ref="F90:G90"/>
    <mergeCell ref="H90:I90"/>
    <mergeCell ref="A102:B102"/>
    <mergeCell ref="C102:I102"/>
    <mergeCell ref="F103:G103"/>
    <mergeCell ref="H103:I103"/>
    <mergeCell ref="F110:G110"/>
    <mergeCell ref="H110:I110"/>
    <mergeCell ref="F111:G111"/>
    <mergeCell ref="H111:I111"/>
    <mergeCell ref="F112:G112"/>
    <mergeCell ref="H112:I112"/>
    <mergeCell ref="F107:G107"/>
    <mergeCell ref="H107:I107"/>
    <mergeCell ref="F108:G108"/>
    <mergeCell ref="H108:I108"/>
    <mergeCell ref="F109:G109"/>
    <mergeCell ref="H109:I109"/>
    <mergeCell ref="F127:G127"/>
    <mergeCell ref="H127:I127"/>
    <mergeCell ref="F128:G128"/>
    <mergeCell ref="H128:I128"/>
    <mergeCell ref="F129:G129"/>
    <mergeCell ref="H129:I129"/>
    <mergeCell ref="A124:B124"/>
    <mergeCell ref="C124:I124"/>
    <mergeCell ref="F125:G125"/>
    <mergeCell ref="H125:I125"/>
    <mergeCell ref="F126:G126"/>
    <mergeCell ref="H126:I126"/>
    <mergeCell ref="F133:G133"/>
    <mergeCell ref="H133:I133"/>
    <mergeCell ref="F134:G134"/>
    <mergeCell ref="H134:I134"/>
    <mergeCell ref="A146:B146"/>
    <mergeCell ref="C146:I146"/>
    <mergeCell ref="F130:G130"/>
    <mergeCell ref="H130:I130"/>
    <mergeCell ref="F131:G131"/>
    <mergeCell ref="H131:I131"/>
    <mergeCell ref="F132:G132"/>
    <mergeCell ref="H132:I132"/>
    <mergeCell ref="F150:G150"/>
    <mergeCell ref="H150:I150"/>
    <mergeCell ref="F151:G151"/>
    <mergeCell ref="H151:I151"/>
    <mergeCell ref="F152:G152"/>
    <mergeCell ref="H152:I152"/>
    <mergeCell ref="F147:G147"/>
    <mergeCell ref="H147:I147"/>
    <mergeCell ref="F148:G148"/>
    <mergeCell ref="H148:I148"/>
    <mergeCell ref="F149:G149"/>
    <mergeCell ref="H149:I149"/>
    <mergeCell ref="F156:G156"/>
    <mergeCell ref="H156:I156"/>
    <mergeCell ref="A168:B168"/>
    <mergeCell ref="C168:I168"/>
    <mergeCell ref="F169:G169"/>
    <mergeCell ref="H169:I169"/>
    <mergeCell ref="F153:G153"/>
    <mergeCell ref="H153:I153"/>
    <mergeCell ref="F154:G154"/>
    <mergeCell ref="H154:I154"/>
    <mergeCell ref="F155:G155"/>
    <mergeCell ref="H155:I155"/>
    <mergeCell ref="F173:G173"/>
    <mergeCell ref="H173:I173"/>
    <mergeCell ref="F174:G174"/>
    <mergeCell ref="H174:I174"/>
    <mergeCell ref="F175:G175"/>
    <mergeCell ref="H175:I175"/>
    <mergeCell ref="F170:G170"/>
    <mergeCell ref="H170:I170"/>
    <mergeCell ref="F171:G171"/>
    <mergeCell ref="H171:I171"/>
    <mergeCell ref="F172:G172"/>
    <mergeCell ref="H172:I172"/>
    <mergeCell ref="A190:B190"/>
    <mergeCell ref="C190:I190"/>
    <mergeCell ref="F191:G191"/>
    <mergeCell ref="H191:I191"/>
    <mergeCell ref="F192:G192"/>
    <mergeCell ref="H192:I192"/>
    <mergeCell ref="F176:G176"/>
    <mergeCell ref="H176:I176"/>
    <mergeCell ref="F177:G177"/>
    <mergeCell ref="H177:I177"/>
    <mergeCell ref="F178:G178"/>
    <mergeCell ref="H178:I178"/>
    <mergeCell ref="A212:B212"/>
    <mergeCell ref="C212:I212"/>
    <mergeCell ref="F196:G196"/>
    <mergeCell ref="H196:I196"/>
    <mergeCell ref="F197:G197"/>
    <mergeCell ref="H197:I197"/>
    <mergeCell ref="F198:G198"/>
    <mergeCell ref="H198:I198"/>
    <mergeCell ref="F193:G193"/>
    <mergeCell ref="H193:I193"/>
    <mergeCell ref="F194:G194"/>
    <mergeCell ref="H194:I194"/>
    <mergeCell ref="F195:G195"/>
    <mergeCell ref="H195:I195"/>
    <mergeCell ref="F213:G213"/>
    <mergeCell ref="H213:I213"/>
    <mergeCell ref="F214:G214"/>
    <mergeCell ref="H214:I214"/>
    <mergeCell ref="F215:G215"/>
    <mergeCell ref="H215:I215"/>
    <mergeCell ref="F199:G199"/>
    <mergeCell ref="H199:I199"/>
    <mergeCell ref="F200:G200"/>
    <mergeCell ref="H200:I200"/>
    <mergeCell ref="F222:G222"/>
    <mergeCell ref="H222:I222"/>
    <mergeCell ref="F219:G219"/>
    <mergeCell ref="H219:I219"/>
    <mergeCell ref="F220:G220"/>
    <mergeCell ref="H220:I220"/>
    <mergeCell ref="F221:G221"/>
    <mergeCell ref="H221:I221"/>
    <mergeCell ref="F216:G216"/>
    <mergeCell ref="H216:I216"/>
    <mergeCell ref="F217:G217"/>
    <mergeCell ref="H217:I217"/>
    <mergeCell ref="F218:G218"/>
    <mergeCell ref="H218:I218"/>
  </mergeCells>
  <dataValidations count="2">
    <dataValidation type="list" allowBlank="1" showInputMessage="1" showErrorMessage="1" sqref="H21:I21 H43:I43 H197:I197 H65:I65 H87:I87 H109:I109 H131:I131 H153:I153 H175:I175 H219:I219">
      <formula1>"yes,no"</formula1>
    </dataValidation>
    <dataValidation type="list" allowBlank="1" showInputMessage="1" showErrorMessage="1" sqref="C2:C11">
      <formula1>"1,2,3,4,5,6,7,8,9,10,11,12,13,14,15,16,17,18,19,20"</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AT117"/>
  <sheetViews>
    <sheetView workbookViewId="0">
      <selection activeCell="H26" sqref="H26"/>
    </sheetView>
  </sheetViews>
  <sheetFormatPr defaultRowHeight="15" x14ac:dyDescent="0.25"/>
  <cols>
    <col min="1" max="1" width="9.140625" style="85"/>
    <col min="2" max="2" width="10.28515625" style="85" customWidth="1"/>
    <col min="3" max="16" width="9.140625" style="85"/>
    <col min="17" max="23" width="0" style="85" hidden="1" customWidth="1"/>
    <col min="24" max="24" width="10" style="85" hidden="1" customWidth="1"/>
    <col min="25" max="25" width="3.85546875" style="85" customWidth="1"/>
    <col min="26" max="32" width="9.140625" style="85"/>
    <col min="33" max="33" width="2.7109375" style="85" customWidth="1"/>
    <col min="34" max="43" width="4.7109375" style="85" customWidth="1"/>
    <col min="44" max="44" width="8.140625" style="85" customWidth="1"/>
    <col min="45" max="16384" width="9.140625" style="85"/>
  </cols>
  <sheetData>
    <row r="1" spans="1:46" x14ac:dyDescent="0.25">
      <c r="A1" s="295" t="s">
        <v>884</v>
      </c>
      <c r="B1" s="295"/>
      <c r="C1" s="295">
        <v>3</v>
      </c>
      <c r="D1" s="295"/>
      <c r="E1" s="296" t="str">
        <f>IFERROR(INDEX(EncCalc!L2:L11,MATCH(Combat!C1,EncCalc!K2:K11,0),1),"")</f>
        <v>Guard</v>
      </c>
      <c r="F1" s="296"/>
      <c r="G1" s="296"/>
      <c r="H1" s="297"/>
      <c r="I1" s="84"/>
      <c r="J1" s="84"/>
      <c r="K1" s="84"/>
      <c r="L1" s="84"/>
      <c r="M1" s="84"/>
      <c r="N1" s="84"/>
      <c r="O1" s="84"/>
      <c r="P1" s="84"/>
      <c r="Q1" s="84"/>
      <c r="R1" s="84"/>
      <c r="S1" s="91"/>
      <c r="T1" s="91"/>
      <c r="U1" s="91"/>
      <c r="V1" s="91"/>
      <c r="W1" s="91"/>
      <c r="X1" s="91"/>
      <c r="Y1" s="91"/>
      <c r="Z1" s="91"/>
      <c r="AA1" s="91"/>
      <c r="AB1" s="91"/>
      <c r="AC1" s="91"/>
      <c r="AD1" s="91"/>
      <c r="AE1" s="91"/>
      <c r="AF1" s="91"/>
      <c r="AG1" s="91"/>
      <c r="AH1" s="91"/>
      <c r="AI1" s="91"/>
      <c r="AJ1" s="91"/>
      <c r="AK1" s="91"/>
      <c r="AL1" s="91"/>
      <c r="AM1" s="91"/>
      <c r="AN1" s="91"/>
      <c r="AO1" s="91"/>
      <c r="AP1" s="91"/>
      <c r="AQ1" s="91"/>
      <c r="AR1" s="91"/>
      <c r="AS1" s="91"/>
      <c r="AT1" s="91"/>
    </row>
    <row r="2" spans="1:46" ht="15.75" thickBot="1" x14ac:dyDescent="0.3">
      <c r="A2" s="295" t="s">
        <v>893</v>
      </c>
      <c r="B2" s="295"/>
      <c r="C2" s="295">
        <f ca="1">OFFSET(EncCalc!H16,22*(Combat!C1-1),0)</f>
        <v>4</v>
      </c>
      <c r="D2" s="295"/>
      <c r="E2" s="84"/>
      <c r="F2" s="84"/>
      <c r="G2" s="84"/>
      <c r="H2" s="84"/>
      <c r="I2" s="84"/>
      <c r="J2" s="84"/>
      <c r="K2" s="84"/>
      <c r="L2" s="84"/>
      <c r="M2" s="84"/>
      <c r="N2" s="84"/>
      <c r="O2" s="84"/>
      <c r="P2" s="84"/>
      <c r="Q2" s="84"/>
      <c r="R2" s="83"/>
      <c r="S2" s="83"/>
      <c r="T2" s="83"/>
      <c r="U2" s="83"/>
      <c r="V2" s="83"/>
      <c r="W2" s="83"/>
      <c r="X2" s="83"/>
      <c r="Y2" s="83"/>
      <c r="Z2" s="91"/>
      <c r="AA2" s="91"/>
      <c r="AB2" s="91"/>
      <c r="AC2" s="91"/>
      <c r="AD2" s="91"/>
      <c r="AE2" s="91"/>
      <c r="AF2" s="91"/>
      <c r="AG2" s="91"/>
      <c r="AH2" s="295" t="s">
        <v>904</v>
      </c>
      <c r="AI2" s="295"/>
      <c r="AJ2" s="295"/>
      <c r="AK2" s="295"/>
      <c r="AL2" s="295"/>
      <c r="AM2" s="295"/>
      <c r="AN2" s="295"/>
      <c r="AO2" s="295"/>
      <c r="AP2" s="295"/>
      <c r="AQ2" s="295"/>
      <c r="AR2" s="295" t="s">
        <v>905</v>
      </c>
      <c r="AS2" s="91"/>
      <c r="AT2" s="91"/>
    </row>
    <row r="3" spans="1:46" ht="15.75" thickBot="1" x14ac:dyDescent="0.3">
      <c r="A3" s="86" t="s">
        <v>16</v>
      </c>
      <c r="B3" s="86" t="s">
        <v>887</v>
      </c>
      <c r="C3" s="86" t="s">
        <v>888</v>
      </c>
      <c r="D3" s="84"/>
      <c r="E3" s="84"/>
      <c r="F3" s="84"/>
      <c r="G3" s="84"/>
      <c r="H3" s="84"/>
      <c r="I3" s="99" t="s">
        <v>889</v>
      </c>
      <c r="J3" s="99" t="s">
        <v>23</v>
      </c>
      <c r="K3" s="100" t="s">
        <v>891</v>
      </c>
      <c r="L3" s="83"/>
      <c r="M3" s="84"/>
      <c r="N3" s="87" t="s">
        <v>892</v>
      </c>
      <c r="O3" s="87" t="s">
        <v>14</v>
      </c>
      <c r="P3" s="87" t="s">
        <v>891</v>
      </c>
      <c r="Q3" s="83"/>
      <c r="R3" s="83"/>
      <c r="S3" s="83"/>
      <c r="T3" s="83"/>
      <c r="U3" s="83"/>
      <c r="V3" s="83"/>
      <c r="W3" s="83"/>
      <c r="X3" s="83"/>
      <c r="Y3" s="83"/>
      <c r="Z3" s="85" t="s">
        <v>906</v>
      </c>
      <c r="AA3" s="87" t="s">
        <v>46</v>
      </c>
      <c r="AB3" s="87" t="s">
        <v>900</v>
      </c>
      <c r="AC3" s="87" t="s">
        <v>901</v>
      </c>
      <c r="AD3" s="87" t="s">
        <v>902</v>
      </c>
      <c r="AE3" s="87" t="s">
        <v>3</v>
      </c>
      <c r="AF3" s="87" t="s">
        <v>903</v>
      </c>
      <c r="AG3" s="91"/>
      <c r="AH3" s="87">
        <v>1</v>
      </c>
      <c r="AI3" s="87">
        <v>2</v>
      </c>
      <c r="AJ3" s="87">
        <v>3</v>
      </c>
      <c r="AK3" s="87">
        <v>4</v>
      </c>
      <c r="AL3" s="87">
        <v>5</v>
      </c>
      <c r="AM3" s="87">
        <v>6</v>
      </c>
      <c r="AN3" s="87">
        <v>7</v>
      </c>
      <c r="AO3" s="87">
        <v>8</v>
      </c>
      <c r="AP3" s="87">
        <v>9</v>
      </c>
      <c r="AQ3" s="87">
        <v>10</v>
      </c>
      <c r="AR3" s="295"/>
      <c r="AS3" s="91"/>
      <c r="AT3" s="91"/>
    </row>
    <row r="4" spans="1:46" x14ac:dyDescent="0.25">
      <c r="A4" s="87">
        <v>1</v>
      </c>
      <c r="B4" s="87" t="str">
        <f ca="1">OFFSET(EncCalc!B16,(Combat!$C$1-1)*22,0)</f>
        <v>DragonWing</v>
      </c>
      <c r="C4" s="87">
        <f ca="1">OFFSET(EncCalc!C16,(Combat!$C$1-1)*22,0)</f>
        <v>2</v>
      </c>
      <c r="D4" s="84"/>
      <c r="E4" s="84"/>
      <c r="F4" s="84"/>
      <c r="G4" s="84"/>
      <c r="H4" s="84"/>
      <c r="I4" s="97">
        <v>1</v>
      </c>
      <c r="J4" s="86" t="str">
        <f ca="1">IFERROR(INDEX($B$17:$B$116,MATCH($I4,$C$17:$C$116,0),1),"")</f>
        <v>DragonWing</v>
      </c>
      <c r="K4" s="98">
        <v>16</v>
      </c>
      <c r="L4" s="83">
        <f ca="1">IF(J4="",0,1+MAX(Q4:Q13))</f>
        <v>6</v>
      </c>
      <c r="M4" s="84"/>
      <c r="N4" s="88">
        <v>1</v>
      </c>
      <c r="O4" s="87" t="str">
        <f>IF(EncCalc!B2="","",EncCalc!B2)</f>
        <v>Palant</v>
      </c>
      <c r="P4" s="87">
        <v>9</v>
      </c>
      <c r="Q4" s="83">
        <f>IF(O4="",0,1)</f>
        <v>1</v>
      </c>
      <c r="R4" s="83"/>
      <c r="S4" s="83">
        <v>1</v>
      </c>
      <c r="T4" s="83" t="str">
        <f>IFERROR(INDEX($O$4:$O$13,MATCH($S4,$Q$4:$Q$13,0),1),IFERROR(INDEX($J$4:$J$103,MATCH($S4,$L$4:$L$103,0),1),""))</f>
        <v>Palant</v>
      </c>
      <c r="U4" s="83">
        <f t="shared" ref="U4:U35" si="0">IFERROR(INDEX($P$4:$P$13,MATCH($S4,$Q$4:$Q$13,0),1),IFERROR(INDEX($K$4:$K$103,MATCH($S4,$L$4:$L$103,0),1),""))</f>
        <v>9</v>
      </c>
      <c r="V4" s="83">
        <f ca="1">IF(U4&gt;0,U4+IF(U4="","",COUNTIF($U5:$U$113,U4))*0.00001,"")</f>
        <v>9</v>
      </c>
      <c r="W4" s="83"/>
      <c r="X4" s="83" t="str">
        <f t="shared" ref="X4:X35" ca="1" si="1">IFERROR(LARGE($V$4:$V$113,Z4),"")</f>
        <v/>
      </c>
      <c r="Y4" s="83"/>
      <c r="Z4" s="101">
        <v>1</v>
      </c>
      <c r="AA4" s="87" t="str">
        <f ca="1">IFERROR(INDEX($T$4:$T$113,MATCH(X4,$V$4:$V$113,0),1),"")</f>
        <v/>
      </c>
      <c r="AB4" s="95" t="str">
        <f ca="1">IFERROR(ROUNDDOWN(X4,0),"")</f>
        <v/>
      </c>
      <c r="AC4" s="95"/>
      <c r="AD4" s="87"/>
      <c r="AE4" s="87"/>
      <c r="AF4" s="95">
        <f>IF(Z4="","",AC4+AD4-AE4)</f>
        <v>0</v>
      </c>
      <c r="AG4" s="91"/>
      <c r="AH4" s="87"/>
      <c r="AI4" s="87"/>
      <c r="AJ4" s="87"/>
      <c r="AK4" s="87"/>
      <c r="AL4" s="87"/>
      <c r="AM4" s="87"/>
      <c r="AN4" s="87"/>
      <c r="AO4" s="87"/>
      <c r="AP4" s="87"/>
      <c r="AQ4" s="87"/>
      <c r="AR4" s="87" t="str">
        <f>IF(SUM($AH4:$AQ4)&lt;0,SUM($AH4:$AQ4),"")</f>
        <v/>
      </c>
      <c r="AS4" s="91"/>
      <c r="AT4" s="91"/>
    </row>
    <row r="5" spans="1:46" x14ac:dyDescent="0.25">
      <c r="A5" s="87">
        <v>2</v>
      </c>
      <c r="B5" s="87" t="str">
        <f ca="1">OFFSET(EncCalc!B17,(Combat!$C$1-1)*22,0)</f>
        <v>DragonClaw</v>
      </c>
      <c r="C5" s="87">
        <f ca="1">OFFSET(EncCalc!C17,(Combat!$C$1-1)*22,0)</f>
        <v>2</v>
      </c>
      <c r="D5" s="84"/>
      <c r="E5" s="84"/>
      <c r="F5" s="84"/>
      <c r="G5" s="84"/>
      <c r="H5" s="84"/>
      <c r="I5" s="88">
        <f t="shared" ref="I5:I17" ca="1" si="2">IFERROR(IF(I4+1&lt;=$C$2,I4+1,""),"")</f>
        <v>2</v>
      </c>
      <c r="J5" s="87" t="str">
        <f t="shared" ref="J5:J68" ca="1" si="3">IFERROR(INDEX($B$17:$B$116,MATCH($I5,$C$17:$C$116,0),1),"")</f>
        <v>DragonWing</v>
      </c>
      <c r="K5" s="96">
        <v>18</v>
      </c>
      <c r="L5" s="83">
        <f ca="1">IF(J5="",0,COUNTIF(L$4:L4,"&gt;0")+MAX($Q$4:$Q$13)+1)</f>
        <v>7</v>
      </c>
      <c r="M5" s="84"/>
      <c r="N5" s="88">
        <f t="shared" ref="N5:N13" si="4">IFERROR(IF(N4+1&lt;=MAX($Q$4:$Q$13),N4+1,""),"")</f>
        <v>2</v>
      </c>
      <c r="O5" s="87" t="str">
        <f>IF(EncCalc!B3="","",EncCalc!B3)</f>
        <v>Dimitriy</v>
      </c>
      <c r="P5" s="87">
        <v>7</v>
      </c>
      <c r="Q5" s="83">
        <f>IF(O5="",0,COUNTIF($Q$4:Q4,"&gt;0")+1)</f>
        <v>2</v>
      </c>
      <c r="R5" s="83"/>
      <c r="S5" s="83">
        <f t="shared" ref="S5:S36" ca="1" si="5">IFERROR(IF(S4+1&lt;=$C$2+MAX($Q$4:$Q$13),S4+1,""),"")</f>
        <v>2</v>
      </c>
      <c r="T5" s="83" t="str">
        <f t="shared" ref="T5:T36" ca="1" si="6">IFERROR(INDEX($O$4:$O$13,MATCH(S5,$Q$4:$Q$13,0),1),IFERROR(INDEX($J$4:$J$103,MATCH(S5,$L$4:$L$103,0),1),""))</f>
        <v>Dimitriy</v>
      </c>
      <c r="U5" s="83">
        <f t="shared" ca="1" si="0"/>
        <v>7</v>
      </c>
      <c r="V5" s="83">
        <f ca="1">IF(U5&gt;0,U5+IF(U5="","",COUNTIF($U6:$U$113,U5))*0.00001,"")</f>
        <v>7</v>
      </c>
      <c r="W5" s="83"/>
      <c r="X5" s="83" t="str">
        <f t="shared" ca="1" si="1"/>
        <v/>
      </c>
      <c r="Y5" s="83"/>
      <c r="Z5" s="101">
        <f t="shared" ref="Z5:Z36" ca="1" si="7">IFERROR(IF(Z4+1&lt;=$C$2+MAX($Q$4:$Q$13),Z4+1,""),"")</f>
        <v>2</v>
      </c>
      <c r="AA5" s="87" t="str">
        <f t="shared" ref="AA5:AA68" ca="1" si="8">IFERROR(INDEX($T$4:$T$113,MATCH(X5,$V$4:$V$113,0),1),"")</f>
        <v/>
      </c>
      <c r="AB5" s="95" t="str">
        <f t="shared" ref="AB5:AB68" ca="1" si="9">IFERROR(ROUNDDOWN(X5,0),"")</f>
        <v/>
      </c>
      <c r="AC5" s="87"/>
      <c r="AD5" s="87"/>
      <c r="AE5" s="87"/>
      <c r="AF5" s="95">
        <f t="shared" ref="AF5:AF68" ca="1" si="10">IF(Z5="","",AC5+AD5-AE5)</f>
        <v>0</v>
      </c>
      <c r="AG5" s="91"/>
      <c r="AH5" s="87"/>
      <c r="AI5" s="87"/>
      <c r="AJ5" s="87"/>
      <c r="AK5" s="87"/>
      <c r="AL5" s="87"/>
      <c r="AM5" s="87"/>
      <c r="AN5" s="87"/>
      <c r="AO5" s="87"/>
      <c r="AP5" s="87"/>
      <c r="AQ5" s="87"/>
      <c r="AR5" s="87" t="str">
        <f t="shared" ref="AR5:AR68" si="11">IF(SUM($AH5:$AQ5)&lt;0,SUM($AH5:$AQ5),"")</f>
        <v/>
      </c>
      <c r="AS5" s="91"/>
      <c r="AT5" s="91"/>
    </row>
    <row r="6" spans="1:46" x14ac:dyDescent="0.25">
      <c r="A6" s="87">
        <v>3</v>
      </c>
      <c r="B6" s="87">
        <f ca="1">OFFSET(EncCalc!B18,(Combat!$C$1-1)*22,0)</f>
        <v>0</v>
      </c>
      <c r="C6" s="87">
        <f ca="1">OFFSET(EncCalc!C18,(Combat!$C$1-1)*22,0)</f>
        <v>0</v>
      </c>
      <c r="D6" s="84"/>
      <c r="E6" s="84"/>
      <c r="F6" s="84"/>
      <c r="G6" s="84"/>
      <c r="H6" s="84"/>
      <c r="I6" s="88">
        <f t="shared" ca="1" si="2"/>
        <v>3</v>
      </c>
      <c r="J6" s="87" t="str">
        <f t="shared" ca="1" si="3"/>
        <v>DragonClaw</v>
      </c>
      <c r="K6" s="96">
        <v>2</v>
      </c>
      <c r="L6" s="83">
        <f ca="1">IF(J6="",0,COUNTIF(L$4:L5,"&gt;0")+MAX($Q$4:$Q$13)+1)</f>
        <v>8</v>
      </c>
      <c r="M6" s="84"/>
      <c r="N6" s="88">
        <f t="shared" si="4"/>
        <v>3</v>
      </c>
      <c r="O6" s="87" t="str">
        <f>IF(EncCalc!B4="","",EncCalc!B4)</f>
        <v>Mark</v>
      </c>
      <c r="P6" s="87">
        <v>18</v>
      </c>
      <c r="Q6" s="83">
        <f>IF(O6="",0,COUNTIF($Q$4:Q5,"&gt;0")+1)</f>
        <v>3</v>
      </c>
      <c r="R6" s="83"/>
      <c r="S6" s="83">
        <f t="shared" ca="1" si="5"/>
        <v>3</v>
      </c>
      <c r="T6" s="83" t="str">
        <f t="shared" ca="1" si="6"/>
        <v>Mark</v>
      </c>
      <c r="U6" s="83">
        <f t="shared" ca="1" si="0"/>
        <v>18</v>
      </c>
      <c r="V6" s="83">
        <f ca="1">IF(U6&gt;0,U6+IF(U6="","",COUNTIF($U7:$U$113,U6))*0.00001,"")</f>
        <v>18.00001</v>
      </c>
      <c r="W6" s="83"/>
      <c r="X6" s="83" t="str">
        <f t="shared" ca="1" si="1"/>
        <v/>
      </c>
      <c r="Y6" s="83"/>
      <c r="Z6" s="101">
        <f t="shared" ca="1" si="7"/>
        <v>3</v>
      </c>
      <c r="AA6" s="87" t="str">
        <f t="shared" ca="1" si="8"/>
        <v/>
      </c>
      <c r="AB6" s="95" t="str">
        <f t="shared" ca="1" si="9"/>
        <v/>
      </c>
      <c r="AC6" s="87"/>
      <c r="AD6" s="87"/>
      <c r="AE6" s="87"/>
      <c r="AF6" s="95">
        <f t="shared" ca="1" si="10"/>
        <v>0</v>
      </c>
      <c r="AG6" s="91"/>
      <c r="AH6" s="87"/>
      <c r="AI6" s="87"/>
      <c r="AJ6" s="87"/>
      <c r="AK6" s="87"/>
      <c r="AL6" s="87"/>
      <c r="AM6" s="87"/>
      <c r="AN6" s="87"/>
      <c r="AO6" s="87"/>
      <c r="AP6" s="87"/>
      <c r="AQ6" s="87"/>
      <c r="AR6" s="87" t="str">
        <f t="shared" si="11"/>
        <v/>
      </c>
      <c r="AS6" s="91"/>
      <c r="AT6" s="91"/>
    </row>
    <row r="7" spans="1:46" x14ac:dyDescent="0.25">
      <c r="A7" s="87">
        <v>4</v>
      </c>
      <c r="B7" s="87">
        <f ca="1">OFFSET(EncCalc!B19,(Combat!$C$1-1)*22,0)</f>
        <v>0</v>
      </c>
      <c r="C7" s="87">
        <f ca="1">OFFSET(EncCalc!C19,(Combat!$C$1-1)*22,0)</f>
        <v>0</v>
      </c>
      <c r="D7" s="84"/>
      <c r="E7" s="84"/>
      <c r="F7" s="84"/>
      <c r="G7" s="84"/>
      <c r="H7" s="84"/>
      <c r="I7" s="88">
        <f t="shared" ca="1" si="2"/>
        <v>4</v>
      </c>
      <c r="J7" s="87" t="str">
        <f t="shared" ca="1" si="3"/>
        <v>DragonClaw</v>
      </c>
      <c r="K7" s="96">
        <v>5</v>
      </c>
      <c r="L7" s="83">
        <f ca="1">IF(J7="",0,COUNTIF(L$4:L6,"&gt;0")+MAX($Q$4:$Q$13)+1)</f>
        <v>9</v>
      </c>
      <c r="M7" s="84"/>
      <c r="N7" s="88">
        <f t="shared" si="4"/>
        <v>4</v>
      </c>
      <c r="O7" s="87" t="str">
        <f>IF(EncCalc!B5="","",EncCalc!B5)</f>
        <v>Faurgar</v>
      </c>
      <c r="P7" s="87">
        <v>15</v>
      </c>
      <c r="Q7" s="83">
        <f>IF(O7="",0,COUNTIF($Q$4:Q6,"&gt;0")+1)</f>
        <v>4</v>
      </c>
      <c r="R7" s="83"/>
      <c r="S7" s="83">
        <f t="shared" ca="1" si="5"/>
        <v>4</v>
      </c>
      <c r="T7" s="83" t="str">
        <f t="shared" ca="1" si="6"/>
        <v>Faurgar</v>
      </c>
      <c r="U7" s="83">
        <f t="shared" ca="1" si="0"/>
        <v>15</v>
      </c>
      <c r="V7" s="83">
        <f ca="1">IF(U7&gt;0,U7+IF(U7="","",COUNTIF($U8:$U$113,U7))*0.00001,"")</f>
        <v>15</v>
      </c>
      <c r="W7" s="83"/>
      <c r="X7" s="83" t="str">
        <f t="shared" ca="1" si="1"/>
        <v/>
      </c>
      <c r="Y7" s="83"/>
      <c r="Z7" s="101">
        <f t="shared" ca="1" si="7"/>
        <v>4</v>
      </c>
      <c r="AA7" s="87" t="str">
        <f t="shared" ca="1" si="8"/>
        <v/>
      </c>
      <c r="AB7" s="95" t="str">
        <f t="shared" ca="1" si="9"/>
        <v/>
      </c>
      <c r="AC7" s="87"/>
      <c r="AD7" s="87"/>
      <c r="AE7" s="87"/>
      <c r="AF7" s="95">
        <f t="shared" ca="1" si="10"/>
        <v>0</v>
      </c>
      <c r="AG7" s="91"/>
      <c r="AH7" s="87"/>
      <c r="AI7" s="87"/>
      <c r="AJ7" s="87"/>
      <c r="AK7" s="87"/>
      <c r="AL7" s="87"/>
      <c r="AM7" s="87"/>
      <c r="AN7" s="87"/>
      <c r="AO7" s="87"/>
      <c r="AP7" s="87"/>
      <c r="AQ7" s="87"/>
      <c r="AR7" s="87" t="str">
        <f t="shared" si="11"/>
        <v/>
      </c>
      <c r="AS7" s="91"/>
      <c r="AT7" s="91"/>
    </row>
    <row r="8" spans="1:46" x14ac:dyDescent="0.25">
      <c r="A8" s="87">
        <v>5</v>
      </c>
      <c r="B8" s="87">
        <f ca="1">OFFSET(EncCalc!B20,(Combat!$C$1-1)*22,0)</f>
        <v>0</v>
      </c>
      <c r="C8" s="87">
        <f ca="1">OFFSET(EncCalc!C20,(Combat!$C$1-1)*22,0)</f>
        <v>0</v>
      </c>
      <c r="D8" s="84"/>
      <c r="E8" s="84"/>
      <c r="F8" s="84"/>
      <c r="G8" s="84"/>
      <c r="H8" s="84"/>
      <c r="I8" s="88" t="str">
        <f t="shared" ca="1" si="2"/>
        <v/>
      </c>
      <c r="J8" s="87" t="str">
        <f t="shared" ca="1" si="3"/>
        <v/>
      </c>
      <c r="K8" s="96">
        <v>7</v>
      </c>
      <c r="L8" s="83">
        <f ca="1">IF(J8="",0,COUNTIF(L$4:L7,"&gt;0")+MAX($Q$4:$Q$13)+1)</f>
        <v>0</v>
      </c>
      <c r="M8" s="84"/>
      <c r="N8" s="88">
        <f t="shared" si="4"/>
        <v>5</v>
      </c>
      <c r="O8" s="87" t="str">
        <f>IF(EncCalc!B6="","",EncCalc!B6)</f>
        <v>Rockdat</v>
      </c>
      <c r="P8" s="87">
        <v>14</v>
      </c>
      <c r="Q8" s="83">
        <f>IF(O8="",0,COUNTIF($Q$4:Q7,"&gt;0")+1)</f>
        <v>5</v>
      </c>
      <c r="R8" s="83"/>
      <c r="S8" s="83">
        <f t="shared" ca="1" si="5"/>
        <v>5</v>
      </c>
      <c r="T8" s="83" t="str">
        <f t="shared" ca="1" si="6"/>
        <v>Rockdat</v>
      </c>
      <c r="U8" s="83">
        <f t="shared" ca="1" si="0"/>
        <v>14</v>
      </c>
      <c r="V8" s="83">
        <f ca="1">IF(U8&gt;0,U8+IF(U8="","",COUNTIF($U9:$U$113,U8))*0.00001,"")</f>
        <v>14</v>
      </c>
      <c r="W8" s="83"/>
      <c r="X8" s="83" t="str">
        <f t="shared" ca="1" si="1"/>
        <v/>
      </c>
      <c r="Y8" s="83"/>
      <c r="Z8" s="101">
        <f t="shared" ca="1" si="7"/>
        <v>5</v>
      </c>
      <c r="AA8" s="87" t="str">
        <f t="shared" ca="1" si="8"/>
        <v/>
      </c>
      <c r="AB8" s="95" t="str">
        <f t="shared" ca="1" si="9"/>
        <v/>
      </c>
      <c r="AC8" s="87"/>
      <c r="AD8" s="87"/>
      <c r="AE8" s="87"/>
      <c r="AF8" s="95">
        <f t="shared" ca="1" si="10"/>
        <v>0</v>
      </c>
      <c r="AG8" s="91"/>
      <c r="AH8" s="87"/>
      <c r="AI8" s="87"/>
      <c r="AJ8" s="87"/>
      <c r="AK8" s="87"/>
      <c r="AL8" s="87"/>
      <c r="AM8" s="87"/>
      <c r="AN8" s="87"/>
      <c r="AO8" s="87"/>
      <c r="AP8" s="87"/>
      <c r="AQ8" s="87"/>
      <c r="AR8" s="87" t="str">
        <f t="shared" si="11"/>
        <v/>
      </c>
      <c r="AS8" s="91"/>
      <c r="AT8" s="91"/>
    </row>
    <row r="9" spans="1:46" x14ac:dyDescent="0.25">
      <c r="A9" s="87">
        <v>6</v>
      </c>
      <c r="B9" s="87">
        <f ca="1">OFFSET(EncCalc!B21,(Combat!$C$1-1)*22,0)</f>
        <v>0</v>
      </c>
      <c r="C9" s="87">
        <f ca="1">OFFSET(EncCalc!C21,(Combat!$C$1-1)*22,0)</f>
        <v>0</v>
      </c>
      <c r="D9" s="84"/>
      <c r="E9" s="84"/>
      <c r="F9" s="84"/>
      <c r="G9" s="84"/>
      <c r="H9" s="84"/>
      <c r="I9" s="88" t="str">
        <f t="shared" ca="1" si="2"/>
        <v/>
      </c>
      <c r="J9" s="87" t="str">
        <f t="shared" ca="1" si="3"/>
        <v/>
      </c>
      <c r="K9" s="96">
        <v>8</v>
      </c>
      <c r="L9" s="83">
        <f ca="1">IF(J9="",0,COUNTIF(L$4:L8,"&gt;0")+MAX($Q$4:$Q$13)+1)</f>
        <v>0</v>
      </c>
      <c r="M9" s="84"/>
      <c r="N9" s="88" t="str">
        <f t="shared" si="4"/>
        <v/>
      </c>
      <c r="O9" s="87" t="str">
        <f>IF(EncCalc!B7="","",EncCalc!B7)</f>
        <v/>
      </c>
      <c r="P9" s="87"/>
      <c r="Q9" s="83">
        <f>IF(O9="",0,COUNTIF($Q$4:Q8,"&gt;0")+1)</f>
        <v>0</v>
      </c>
      <c r="R9" s="83"/>
      <c r="S9" s="83">
        <f t="shared" ca="1" si="5"/>
        <v>6</v>
      </c>
      <c r="T9" s="83" t="str">
        <f t="shared" ca="1" si="6"/>
        <v>DragonWing</v>
      </c>
      <c r="U9" s="83">
        <f t="shared" ca="1" si="0"/>
        <v>16</v>
      </c>
      <c r="V9" s="83">
        <f ca="1">IF(U9&gt;0,U9+IF(U9="","",COUNTIF($U10:$U$113,U9))*0.00001,"")</f>
        <v>16</v>
      </c>
      <c r="W9" s="83"/>
      <c r="X9" s="83" t="str">
        <f t="shared" ca="1" si="1"/>
        <v/>
      </c>
      <c r="Y9" s="83"/>
      <c r="Z9" s="101">
        <f t="shared" ca="1" si="7"/>
        <v>6</v>
      </c>
      <c r="AA9" s="87" t="str">
        <f t="shared" ca="1" si="8"/>
        <v/>
      </c>
      <c r="AB9" s="95" t="str">
        <f t="shared" ca="1" si="9"/>
        <v/>
      </c>
      <c r="AC9" s="87"/>
      <c r="AD9" s="87"/>
      <c r="AE9" s="87"/>
      <c r="AF9" s="95">
        <f t="shared" ca="1" si="10"/>
        <v>0</v>
      </c>
      <c r="AG9" s="91"/>
      <c r="AH9" s="87"/>
      <c r="AI9" s="87"/>
      <c r="AJ9" s="87"/>
      <c r="AK9" s="87"/>
      <c r="AL9" s="87"/>
      <c r="AM9" s="87"/>
      <c r="AN9" s="87"/>
      <c r="AO9" s="87"/>
      <c r="AP9" s="87"/>
      <c r="AQ9" s="87"/>
      <c r="AR9" s="87" t="str">
        <f t="shared" si="11"/>
        <v/>
      </c>
      <c r="AS9" s="91"/>
      <c r="AT9" s="91"/>
    </row>
    <row r="10" spans="1:46" x14ac:dyDescent="0.25">
      <c r="A10" s="87">
        <v>7</v>
      </c>
      <c r="B10" s="87">
        <f ca="1">OFFSET(EncCalc!B22,(Combat!$C$1-1)*22,0)</f>
        <v>0</v>
      </c>
      <c r="C10" s="87">
        <f ca="1">OFFSET(EncCalc!C22,(Combat!$C$1-1)*22,0)</f>
        <v>0</v>
      </c>
      <c r="D10" s="84"/>
      <c r="E10" s="84"/>
      <c r="F10" s="84"/>
      <c r="G10" s="84"/>
      <c r="H10" s="84"/>
      <c r="I10" s="88" t="str">
        <f t="shared" ca="1" si="2"/>
        <v/>
      </c>
      <c r="J10" s="87" t="str">
        <f t="shared" ca="1" si="3"/>
        <v/>
      </c>
      <c r="K10" s="96">
        <v>6</v>
      </c>
      <c r="L10" s="83">
        <f ca="1">IF(J10="",0,COUNTIF(L$4:L9,"&gt;0")+MAX($Q$4:$Q$13)+1)</f>
        <v>0</v>
      </c>
      <c r="M10" s="84"/>
      <c r="N10" s="88" t="str">
        <f t="shared" si="4"/>
        <v/>
      </c>
      <c r="O10" s="87" t="str">
        <f>IF(EncCalc!B8="","",EncCalc!B8)</f>
        <v/>
      </c>
      <c r="P10" s="87"/>
      <c r="Q10" s="83">
        <f>IF(O10="",0,COUNTIF($Q$4:Q9,"&gt;0")+1)</f>
        <v>0</v>
      </c>
      <c r="R10" s="83"/>
      <c r="S10" s="83">
        <f t="shared" ca="1" si="5"/>
        <v>7</v>
      </c>
      <c r="T10" s="83" t="str">
        <f t="shared" ca="1" si="6"/>
        <v>DragonWing</v>
      </c>
      <c r="U10" s="83">
        <f t="shared" ca="1" si="0"/>
        <v>18</v>
      </c>
      <c r="V10" s="83">
        <f ca="1">IF(U10&gt;0,U10+IF(U10="","",COUNTIF($U11:$U$113,U10))*0.00001,"")</f>
        <v>18</v>
      </c>
      <c r="W10" s="83"/>
      <c r="X10" s="83" t="str">
        <f t="shared" ca="1" si="1"/>
        <v/>
      </c>
      <c r="Y10" s="83"/>
      <c r="Z10" s="101">
        <f t="shared" ca="1" si="7"/>
        <v>7</v>
      </c>
      <c r="AA10" s="87" t="str">
        <f t="shared" ca="1" si="8"/>
        <v/>
      </c>
      <c r="AB10" s="95" t="str">
        <f t="shared" ca="1" si="9"/>
        <v/>
      </c>
      <c r="AC10" s="87"/>
      <c r="AD10" s="87"/>
      <c r="AE10" s="87"/>
      <c r="AF10" s="95">
        <f t="shared" ca="1" si="10"/>
        <v>0</v>
      </c>
      <c r="AG10" s="91"/>
      <c r="AH10" s="87"/>
      <c r="AI10" s="87"/>
      <c r="AJ10" s="87"/>
      <c r="AK10" s="87"/>
      <c r="AL10" s="87"/>
      <c r="AM10" s="87"/>
      <c r="AN10" s="87"/>
      <c r="AO10" s="87"/>
      <c r="AP10" s="87"/>
      <c r="AQ10" s="87"/>
      <c r="AR10" s="87" t="str">
        <f t="shared" si="11"/>
        <v/>
      </c>
      <c r="AS10" s="91"/>
      <c r="AT10" s="91"/>
    </row>
    <row r="11" spans="1:46" x14ac:dyDescent="0.25">
      <c r="A11" s="87">
        <v>8</v>
      </c>
      <c r="B11" s="87">
        <f ca="1">OFFSET(EncCalc!B23,(Combat!$C$1-1)*22,0)</f>
        <v>0</v>
      </c>
      <c r="C11" s="87">
        <f ca="1">OFFSET(EncCalc!C23,(Combat!$C$1-1)*22,0)</f>
        <v>0</v>
      </c>
      <c r="D11" s="84"/>
      <c r="E11" s="84"/>
      <c r="F11" s="84"/>
      <c r="G11" s="84"/>
      <c r="H11" s="84"/>
      <c r="I11" s="88" t="str">
        <f t="shared" ca="1" si="2"/>
        <v/>
      </c>
      <c r="J11" s="87" t="str">
        <f t="shared" ca="1" si="3"/>
        <v/>
      </c>
      <c r="K11" s="96">
        <v>7</v>
      </c>
      <c r="L11" s="83">
        <f ca="1">IF(J11="",0,COUNTIF(L$4:L10,"&gt;0")+MAX($Q$4:$Q$13)+1)</f>
        <v>0</v>
      </c>
      <c r="M11" s="84"/>
      <c r="N11" s="88" t="str">
        <f t="shared" si="4"/>
        <v/>
      </c>
      <c r="O11" s="87" t="str">
        <f>IF(EncCalc!B9="","",EncCalc!B9)</f>
        <v/>
      </c>
      <c r="P11" s="87"/>
      <c r="Q11" s="83">
        <f>IF(O11="",0,COUNTIF($Q$4:Q10,"&gt;0")+1)</f>
        <v>0</v>
      </c>
      <c r="R11" s="83"/>
      <c r="S11" s="83">
        <f t="shared" ca="1" si="5"/>
        <v>8</v>
      </c>
      <c r="T11" s="83" t="str">
        <f t="shared" ca="1" si="6"/>
        <v>DragonClaw</v>
      </c>
      <c r="U11" s="83">
        <f t="shared" ca="1" si="0"/>
        <v>2</v>
      </c>
      <c r="V11" s="83">
        <f ca="1">IF(U11&gt;0,U11+IF(U11="","",COUNTIF($U12:$U$113,U11))*0.00001,"")</f>
        <v>2</v>
      </c>
      <c r="W11" s="83"/>
      <c r="X11" s="83" t="str">
        <f t="shared" ca="1" si="1"/>
        <v/>
      </c>
      <c r="Y11" s="83"/>
      <c r="Z11" s="101">
        <f t="shared" ca="1" si="7"/>
        <v>8</v>
      </c>
      <c r="AA11" s="87" t="str">
        <f t="shared" ca="1" si="8"/>
        <v/>
      </c>
      <c r="AB11" s="95" t="str">
        <f t="shared" ca="1" si="9"/>
        <v/>
      </c>
      <c r="AC11" s="87"/>
      <c r="AD11" s="87"/>
      <c r="AE11" s="87"/>
      <c r="AF11" s="95">
        <f t="shared" ca="1" si="10"/>
        <v>0</v>
      </c>
      <c r="AG11" s="91"/>
      <c r="AH11" s="87"/>
      <c r="AI11" s="87"/>
      <c r="AJ11" s="87"/>
      <c r="AK11" s="87"/>
      <c r="AL11" s="87"/>
      <c r="AM11" s="87"/>
      <c r="AN11" s="87"/>
      <c r="AO11" s="87"/>
      <c r="AP11" s="87"/>
      <c r="AQ11" s="87"/>
      <c r="AR11" s="87" t="str">
        <f t="shared" si="11"/>
        <v/>
      </c>
      <c r="AS11" s="91"/>
      <c r="AT11" s="91"/>
    </row>
    <row r="12" spans="1:46" x14ac:dyDescent="0.25">
      <c r="A12" s="87">
        <v>9</v>
      </c>
      <c r="B12" s="87">
        <f ca="1">OFFSET(EncCalc!B24,(Combat!$C$1-1)*22,0)</f>
        <v>0</v>
      </c>
      <c r="C12" s="87">
        <f ca="1">OFFSET(EncCalc!C24,(Combat!$C$1-1)*22,0)</f>
        <v>0</v>
      </c>
      <c r="D12" s="84"/>
      <c r="E12" s="84"/>
      <c r="F12" s="84"/>
      <c r="G12" s="84"/>
      <c r="H12" s="84"/>
      <c r="I12" s="88" t="str">
        <f t="shared" ca="1" si="2"/>
        <v/>
      </c>
      <c r="J12" s="87" t="str">
        <f t="shared" ca="1" si="3"/>
        <v/>
      </c>
      <c r="K12" s="96">
        <v>3</v>
      </c>
      <c r="L12" s="83">
        <f ca="1">IF(J12="",0,COUNTIF(L$4:L11,"&gt;0")+MAX($Q$4:$Q$13)+1)</f>
        <v>0</v>
      </c>
      <c r="M12" s="84"/>
      <c r="N12" s="88" t="str">
        <f t="shared" si="4"/>
        <v/>
      </c>
      <c r="O12" s="87" t="str">
        <f>IF(EncCalc!B10="","",EncCalc!B10)</f>
        <v/>
      </c>
      <c r="P12" s="87"/>
      <c r="Q12" s="83">
        <f>IF(O12="",0,COUNTIF($Q$4:Q11,"&gt;0")+1)</f>
        <v>0</v>
      </c>
      <c r="R12" s="83"/>
      <c r="S12" s="83">
        <f t="shared" ca="1" si="5"/>
        <v>9</v>
      </c>
      <c r="T12" s="83" t="str">
        <f t="shared" ca="1" si="6"/>
        <v>DragonClaw</v>
      </c>
      <c r="U12" s="83">
        <f t="shared" ca="1" si="0"/>
        <v>5</v>
      </c>
      <c r="V12" s="83">
        <f ca="1">IF(U12&gt;0,U12+IF(U12="","",COUNTIF($U13:$U$113,U12))*0.00001,"")</f>
        <v>5</v>
      </c>
      <c r="W12" s="83"/>
      <c r="X12" s="83" t="str">
        <f t="shared" ca="1" si="1"/>
        <v/>
      </c>
      <c r="Y12" s="83"/>
      <c r="Z12" s="101">
        <f t="shared" ca="1" si="7"/>
        <v>9</v>
      </c>
      <c r="AA12" s="87" t="str">
        <f t="shared" ca="1" si="8"/>
        <v/>
      </c>
      <c r="AB12" s="95" t="str">
        <f t="shared" ca="1" si="9"/>
        <v/>
      </c>
      <c r="AC12" s="87"/>
      <c r="AD12" s="87"/>
      <c r="AE12" s="87"/>
      <c r="AF12" s="95">
        <f t="shared" ca="1" si="10"/>
        <v>0</v>
      </c>
      <c r="AG12" s="91"/>
      <c r="AH12" s="87"/>
      <c r="AI12" s="87"/>
      <c r="AJ12" s="87"/>
      <c r="AK12" s="87"/>
      <c r="AL12" s="87"/>
      <c r="AM12" s="87"/>
      <c r="AN12" s="87"/>
      <c r="AO12" s="87"/>
      <c r="AP12" s="87"/>
      <c r="AQ12" s="87"/>
      <c r="AR12" s="87" t="str">
        <f t="shared" si="11"/>
        <v/>
      </c>
      <c r="AS12" s="91"/>
      <c r="AT12" s="91"/>
    </row>
    <row r="13" spans="1:46" x14ac:dyDescent="0.25">
      <c r="A13" s="87">
        <v>10</v>
      </c>
      <c r="B13" s="87">
        <f ca="1">OFFSET(EncCalc!B25,(Combat!$C$1-1)*22,0)</f>
        <v>0</v>
      </c>
      <c r="C13" s="87">
        <f ca="1">OFFSET(EncCalc!C25,(Combat!$C$1-1)*22,0)</f>
        <v>0</v>
      </c>
      <c r="D13" s="84"/>
      <c r="E13" s="84"/>
      <c r="F13" s="84"/>
      <c r="G13" s="84"/>
      <c r="H13" s="84"/>
      <c r="I13" s="88" t="str">
        <f t="shared" ca="1" si="2"/>
        <v/>
      </c>
      <c r="J13" s="87" t="str">
        <f t="shared" ca="1" si="3"/>
        <v/>
      </c>
      <c r="K13" s="96">
        <v>2</v>
      </c>
      <c r="L13" s="83">
        <f ca="1">IF(J13="",0,COUNTIF(L$4:L12,"&gt;0")+MAX($Q$4:$Q$13)+1)</f>
        <v>0</v>
      </c>
      <c r="M13" s="84"/>
      <c r="N13" s="88" t="str">
        <f t="shared" si="4"/>
        <v/>
      </c>
      <c r="O13" s="87" t="str">
        <f>IF(EncCalc!B11="","",EncCalc!B11)</f>
        <v/>
      </c>
      <c r="P13" s="87"/>
      <c r="Q13" s="83">
        <f>IF(O13="",0,COUNTIF($Q$4:Q12,"&gt;0")+1)</f>
        <v>0</v>
      </c>
      <c r="R13" s="83"/>
      <c r="S13" s="83" t="str">
        <f t="shared" ca="1" si="5"/>
        <v/>
      </c>
      <c r="T13" s="83" t="str">
        <f t="shared" ca="1" si="6"/>
        <v/>
      </c>
      <c r="U13" s="83" t="str">
        <f t="shared" ca="1" si="0"/>
        <v/>
      </c>
      <c r="V13" s="83" t="e">
        <f ca="1">IF(U13&gt;0,U13+IF(U13="","",COUNTIF($U14:$U$113,U13))*0.00001,"")</f>
        <v>#VALUE!</v>
      </c>
      <c r="W13" s="83"/>
      <c r="X13" s="83" t="str">
        <f t="shared" ca="1" si="1"/>
        <v/>
      </c>
      <c r="Y13" s="83"/>
      <c r="Z13" s="101" t="str">
        <f t="shared" ca="1" si="7"/>
        <v/>
      </c>
      <c r="AA13" s="87" t="str">
        <f t="shared" ca="1" si="8"/>
        <v/>
      </c>
      <c r="AB13" s="95" t="str">
        <f t="shared" ca="1" si="9"/>
        <v/>
      </c>
      <c r="AC13" s="87"/>
      <c r="AD13" s="87"/>
      <c r="AE13" s="87"/>
      <c r="AF13" s="95" t="str">
        <f t="shared" ca="1" si="10"/>
        <v/>
      </c>
      <c r="AG13" s="91"/>
      <c r="AH13" s="87"/>
      <c r="AI13" s="87"/>
      <c r="AJ13" s="87"/>
      <c r="AK13" s="87"/>
      <c r="AL13" s="87"/>
      <c r="AM13" s="87"/>
      <c r="AN13" s="87"/>
      <c r="AO13" s="87"/>
      <c r="AP13" s="87"/>
      <c r="AQ13" s="87"/>
      <c r="AR13" s="87" t="str">
        <f t="shared" si="11"/>
        <v/>
      </c>
      <c r="AS13" s="91"/>
      <c r="AT13" s="91"/>
    </row>
    <row r="14" spans="1:46" x14ac:dyDescent="0.25">
      <c r="A14" s="295"/>
      <c r="B14" s="295"/>
      <c r="C14" s="89">
        <f ca="1">SUM(C4:C13)</f>
        <v>4</v>
      </c>
      <c r="D14" s="84"/>
      <c r="E14" s="84"/>
      <c r="F14" s="84"/>
      <c r="G14" s="84"/>
      <c r="H14" s="84"/>
      <c r="I14" s="88" t="str">
        <f t="shared" ca="1" si="2"/>
        <v/>
      </c>
      <c r="J14" s="87" t="str">
        <f t="shared" ca="1" si="3"/>
        <v/>
      </c>
      <c r="K14" s="96">
        <v>7</v>
      </c>
      <c r="L14" s="83">
        <f ca="1">IF(J14="",0,COUNTIF(L$4:L13,"&gt;0")+MAX($Q$4:$Q$13)+1)</f>
        <v>0</v>
      </c>
      <c r="M14" s="84"/>
      <c r="N14" s="84"/>
      <c r="O14" s="84"/>
      <c r="P14" s="84"/>
      <c r="Q14" s="84"/>
      <c r="R14" s="83"/>
      <c r="S14" s="83" t="str">
        <f t="shared" ca="1" si="5"/>
        <v/>
      </c>
      <c r="T14" s="83" t="str">
        <f t="shared" ca="1" si="6"/>
        <v/>
      </c>
      <c r="U14" s="83" t="str">
        <f t="shared" ca="1" si="0"/>
        <v/>
      </c>
      <c r="V14" s="83" t="e">
        <f ca="1">IF(U14&gt;0,U14+IF(U14="","",COUNTIF($U15:$U$113,U14))*0.00001,"")</f>
        <v>#VALUE!</v>
      </c>
      <c r="W14" s="83"/>
      <c r="X14" s="83" t="str">
        <f t="shared" ca="1" si="1"/>
        <v/>
      </c>
      <c r="Y14" s="83"/>
      <c r="Z14" s="101" t="str">
        <f t="shared" ca="1" si="7"/>
        <v/>
      </c>
      <c r="AA14" s="87" t="str">
        <f t="shared" ca="1" si="8"/>
        <v/>
      </c>
      <c r="AB14" s="95" t="str">
        <f t="shared" ca="1" si="9"/>
        <v/>
      </c>
      <c r="AC14" s="87"/>
      <c r="AD14" s="87"/>
      <c r="AE14" s="87"/>
      <c r="AF14" s="95" t="str">
        <f t="shared" ca="1" si="10"/>
        <v/>
      </c>
      <c r="AG14" s="91"/>
      <c r="AH14" s="87"/>
      <c r="AI14" s="87"/>
      <c r="AJ14" s="87"/>
      <c r="AK14" s="87"/>
      <c r="AL14" s="87"/>
      <c r="AM14" s="87"/>
      <c r="AN14" s="87"/>
      <c r="AO14" s="87"/>
      <c r="AP14" s="87"/>
      <c r="AQ14" s="87"/>
      <c r="AR14" s="87" t="str">
        <f t="shared" si="11"/>
        <v/>
      </c>
      <c r="AS14" s="91"/>
      <c r="AT14" s="91"/>
    </row>
    <row r="15" spans="1:46" x14ac:dyDescent="0.25">
      <c r="A15" s="91"/>
      <c r="B15" s="91"/>
      <c r="C15" s="83"/>
      <c r="D15" s="84"/>
      <c r="E15" s="84"/>
      <c r="F15" s="84"/>
      <c r="G15" s="84"/>
      <c r="H15" s="84"/>
      <c r="I15" s="88" t="str">
        <f t="shared" ca="1" si="2"/>
        <v/>
      </c>
      <c r="J15" s="87" t="str">
        <f t="shared" ca="1" si="3"/>
        <v/>
      </c>
      <c r="K15" s="96">
        <v>15</v>
      </c>
      <c r="L15" s="83">
        <f ca="1">IF(J15="",0,COUNTIF(L$4:L14,"&gt;0")+MAX($Q$4:$Q$13)+1)</f>
        <v>0</v>
      </c>
      <c r="M15" s="84"/>
      <c r="N15" s="84"/>
      <c r="O15" s="84"/>
      <c r="P15" s="84"/>
      <c r="Q15" s="84"/>
      <c r="R15" s="83"/>
      <c r="S15" s="83" t="str">
        <f t="shared" ca="1" si="5"/>
        <v/>
      </c>
      <c r="T15" s="83" t="str">
        <f t="shared" ca="1" si="6"/>
        <v/>
      </c>
      <c r="U15" s="83" t="str">
        <f t="shared" ca="1" si="0"/>
        <v/>
      </c>
      <c r="V15" s="83" t="e">
        <f ca="1">IF(U15&gt;0,U15+IF(U15="","",COUNTIF($U16:$U$113,U15))*0.00001,"")</f>
        <v>#VALUE!</v>
      </c>
      <c r="W15" s="83"/>
      <c r="X15" s="83" t="str">
        <f t="shared" ca="1" si="1"/>
        <v/>
      </c>
      <c r="Y15" s="83"/>
      <c r="Z15" s="101" t="str">
        <f t="shared" ca="1" si="7"/>
        <v/>
      </c>
      <c r="AA15" s="87" t="str">
        <f t="shared" ca="1" si="8"/>
        <v/>
      </c>
      <c r="AB15" s="95" t="str">
        <f t="shared" ca="1" si="9"/>
        <v/>
      </c>
      <c r="AC15" s="87"/>
      <c r="AD15" s="87"/>
      <c r="AE15" s="87"/>
      <c r="AF15" s="95" t="str">
        <f t="shared" ca="1" si="10"/>
        <v/>
      </c>
      <c r="AG15" s="91"/>
      <c r="AH15" s="87"/>
      <c r="AI15" s="87"/>
      <c r="AJ15" s="87"/>
      <c r="AK15" s="87"/>
      <c r="AL15" s="87"/>
      <c r="AM15" s="87"/>
      <c r="AN15" s="87"/>
      <c r="AO15" s="87"/>
      <c r="AP15" s="87"/>
      <c r="AQ15" s="87"/>
      <c r="AR15" s="87" t="str">
        <f t="shared" si="11"/>
        <v/>
      </c>
      <c r="AS15" s="91"/>
      <c r="AT15" s="91"/>
    </row>
    <row r="16" spans="1:46" x14ac:dyDescent="0.25">
      <c r="A16" s="87" t="s">
        <v>889</v>
      </c>
      <c r="B16" s="87" t="s">
        <v>23</v>
      </c>
      <c r="C16" s="83" t="s">
        <v>890</v>
      </c>
      <c r="D16" s="84"/>
      <c r="E16" s="84"/>
      <c r="F16" s="84"/>
      <c r="G16" s="84"/>
      <c r="H16" s="84"/>
      <c r="I16" s="88" t="str">
        <f t="shared" ca="1" si="2"/>
        <v/>
      </c>
      <c r="J16" s="87" t="str">
        <f t="shared" ca="1" si="3"/>
        <v/>
      </c>
      <c r="K16" s="96">
        <v>8</v>
      </c>
      <c r="L16" s="83">
        <f ca="1">IF(J16="",0,COUNTIF(L$4:L15,"&gt;0")+MAX($Q$4:$Q$13)+1)</f>
        <v>0</v>
      </c>
      <c r="M16" s="84"/>
      <c r="N16" s="84"/>
      <c r="O16" s="84"/>
      <c r="P16" s="84"/>
      <c r="Q16" s="84"/>
      <c r="R16" s="83"/>
      <c r="S16" s="83" t="str">
        <f t="shared" ca="1" si="5"/>
        <v/>
      </c>
      <c r="T16" s="83" t="str">
        <f t="shared" ca="1" si="6"/>
        <v/>
      </c>
      <c r="U16" s="83" t="str">
        <f t="shared" ca="1" si="0"/>
        <v/>
      </c>
      <c r="V16" s="83" t="e">
        <f ca="1">IF(U16&gt;0,U16+IF(U16="","",COUNTIF($U17:$U$113,U16))*0.00001,"")</f>
        <v>#VALUE!</v>
      </c>
      <c r="W16" s="83"/>
      <c r="X16" s="83" t="str">
        <f t="shared" ca="1" si="1"/>
        <v/>
      </c>
      <c r="Y16" s="83"/>
      <c r="Z16" s="101" t="str">
        <f t="shared" ca="1" si="7"/>
        <v/>
      </c>
      <c r="AA16" s="87" t="str">
        <f t="shared" ca="1" si="8"/>
        <v/>
      </c>
      <c r="AB16" s="95" t="str">
        <f t="shared" ca="1" si="9"/>
        <v/>
      </c>
      <c r="AC16" s="87"/>
      <c r="AD16" s="87"/>
      <c r="AE16" s="87"/>
      <c r="AF16" s="95" t="str">
        <f t="shared" ca="1" si="10"/>
        <v/>
      </c>
      <c r="AG16" s="91"/>
      <c r="AH16" s="87"/>
      <c r="AI16" s="87"/>
      <c r="AJ16" s="87"/>
      <c r="AK16" s="87"/>
      <c r="AL16" s="87"/>
      <c r="AM16" s="87"/>
      <c r="AN16" s="87"/>
      <c r="AO16" s="87"/>
      <c r="AP16" s="87"/>
      <c r="AQ16" s="87"/>
      <c r="AR16" s="87" t="str">
        <f t="shared" si="11"/>
        <v/>
      </c>
      <c r="AS16" s="91"/>
      <c r="AT16" s="91"/>
    </row>
    <row r="17" spans="1:46" x14ac:dyDescent="0.25">
      <c r="A17" s="88">
        <v>1</v>
      </c>
      <c r="B17" s="88" t="str">
        <f ca="1">IF(B4=0,"",B4)</f>
        <v>DragonWing</v>
      </c>
      <c r="C17" s="83">
        <f ca="1">IF(B17="",0,1)</f>
        <v>1</v>
      </c>
      <c r="D17" s="84"/>
      <c r="E17" s="84"/>
      <c r="F17" s="84"/>
      <c r="G17" s="84"/>
      <c r="H17" s="84"/>
      <c r="I17" s="88" t="str">
        <f t="shared" ca="1" si="2"/>
        <v/>
      </c>
      <c r="J17" s="87" t="str">
        <f t="shared" ca="1" si="3"/>
        <v/>
      </c>
      <c r="K17" s="96"/>
      <c r="L17" s="83">
        <f ca="1">IF(J17="",0,COUNTIF(L$4:L16,"&gt;0")+MAX($Q$4:$Q$13)+1)</f>
        <v>0</v>
      </c>
      <c r="M17" s="84"/>
      <c r="N17" s="84"/>
      <c r="O17" s="84"/>
      <c r="P17" s="84"/>
      <c r="Q17" s="84"/>
      <c r="R17" s="83"/>
      <c r="S17" s="83" t="str">
        <f t="shared" ca="1" si="5"/>
        <v/>
      </c>
      <c r="T17" s="83" t="str">
        <f t="shared" ca="1" si="6"/>
        <v/>
      </c>
      <c r="U17" s="83" t="str">
        <f t="shared" ca="1" si="0"/>
        <v/>
      </c>
      <c r="V17" s="83" t="e">
        <f ca="1">IF(U17&gt;0,U17+IF(U17="","",COUNTIF($U18:$U$113,U17))*0.00001,"")</f>
        <v>#VALUE!</v>
      </c>
      <c r="W17" s="83"/>
      <c r="X17" s="83" t="str">
        <f t="shared" ca="1" si="1"/>
        <v/>
      </c>
      <c r="Y17" s="83"/>
      <c r="Z17" s="101" t="str">
        <f t="shared" ca="1" si="7"/>
        <v/>
      </c>
      <c r="AA17" s="87" t="str">
        <f t="shared" ca="1" si="8"/>
        <v/>
      </c>
      <c r="AB17" s="95" t="str">
        <f t="shared" ca="1" si="9"/>
        <v/>
      </c>
      <c r="AC17" s="87"/>
      <c r="AD17" s="87"/>
      <c r="AE17" s="87"/>
      <c r="AF17" s="95" t="str">
        <f t="shared" ca="1" si="10"/>
        <v/>
      </c>
      <c r="AG17" s="91"/>
      <c r="AH17" s="87"/>
      <c r="AI17" s="87"/>
      <c r="AJ17" s="87"/>
      <c r="AK17" s="87"/>
      <c r="AL17" s="87"/>
      <c r="AM17" s="87"/>
      <c r="AN17" s="87"/>
      <c r="AO17" s="87"/>
      <c r="AP17" s="87"/>
      <c r="AQ17" s="87"/>
      <c r="AR17" s="87" t="str">
        <f t="shared" si="11"/>
        <v/>
      </c>
      <c r="AS17" s="91"/>
      <c r="AT17" s="91"/>
    </row>
    <row r="18" spans="1:46" x14ac:dyDescent="0.25">
      <c r="A18" s="88">
        <v>2</v>
      </c>
      <c r="B18" s="88" t="str">
        <f ca="1">IF($A18&lt;=$C$4,B17,"")</f>
        <v>DragonWing</v>
      </c>
      <c r="C18" s="83">
        <f ca="1">IF(B18="",0,COUNTIF($C$17:C17,"&gt;0")+1)</f>
        <v>2</v>
      </c>
      <c r="D18" s="84"/>
      <c r="E18" s="84"/>
      <c r="F18" s="84"/>
      <c r="G18" s="84"/>
      <c r="H18" s="84"/>
      <c r="I18" s="88" t="str">
        <f ca="1">IFERROR(IF(I17+1&lt;=$C$2,I17+1,""),"")</f>
        <v/>
      </c>
      <c r="J18" s="87" t="str">
        <f t="shared" ca="1" si="3"/>
        <v/>
      </c>
      <c r="K18" s="96"/>
      <c r="L18" s="83">
        <f ca="1">IF(J18="",0,COUNTIF(L$4:L17,"&gt;0")+MAX($Q$4:$Q$13)+1)</f>
        <v>0</v>
      </c>
      <c r="M18" s="84"/>
      <c r="N18" s="84"/>
      <c r="O18" s="84"/>
      <c r="P18" s="84"/>
      <c r="Q18" s="84"/>
      <c r="R18" s="83"/>
      <c r="S18" s="83" t="str">
        <f t="shared" ca="1" si="5"/>
        <v/>
      </c>
      <c r="T18" s="83" t="str">
        <f t="shared" ca="1" si="6"/>
        <v/>
      </c>
      <c r="U18" s="83" t="str">
        <f t="shared" ca="1" si="0"/>
        <v/>
      </c>
      <c r="V18" s="83" t="e">
        <f ca="1">IF(U18&gt;0,U18+IF(U18="","",COUNTIF($U19:$U$113,U18))*0.00001,"")</f>
        <v>#VALUE!</v>
      </c>
      <c r="W18" s="83"/>
      <c r="X18" s="83" t="str">
        <f t="shared" ca="1" si="1"/>
        <v/>
      </c>
      <c r="Y18" s="83"/>
      <c r="Z18" s="101" t="str">
        <f t="shared" ca="1" si="7"/>
        <v/>
      </c>
      <c r="AA18" s="87" t="str">
        <f t="shared" ca="1" si="8"/>
        <v/>
      </c>
      <c r="AB18" s="95" t="str">
        <f t="shared" ca="1" si="9"/>
        <v/>
      </c>
      <c r="AC18" s="87"/>
      <c r="AD18" s="87"/>
      <c r="AE18" s="87"/>
      <c r="AF18" s="95" t="str">
        <f t="shared" ca="1" si="10"/>
        <v/>
      </c>
      <c r="AG18" s="91"/>
      <c r="AH18" s="87"/>
      <c r="AI18" s="87"/>
      <c r="AJ18" s="87"/>
      <c r="AK18" s="87"/>
      <c r="AL18" s="87"/>
      <c r="AM18" s="87"/>
      <c r="AN18" s="87"/>
      <c r="AO18" s="87"/>
      <c r="AP18" s="87"/>
      <c r="AQ18" s="87"/>
      <c r="AR18" s="87" t="str">
        <f t="shared" si="11"/>
        <v/>
      </c>
      <c r="AS18" s="91"/>
      <c r="AT18" s="91"/>
    </row>
    <row r="19" spans="1:46" x14ac:dyDescent="0.25">
      <c r="A19" s="88">
        <v>3</v>
      </c>
      <c r="B19" s="88" t="str">
        <f ca="1">IF($A19&lt;=$C$4,B18,"")</f>
        <v/>
      </c>
      <c r="C19" s="83">
        <f ca="1">IF(B19="",0,COUNTIF($C$17:C18,"&gt;0")+1)</f>
        <v>0</v>
      </c>
      <c r="D19" s="84"/>
      <c r="E19" s="84"/>
      <c r="F19" s="84"/>
      <c r="G19" s="84"/>
      <c r="H19" s="84"/>
      <c r="I19" s="88" t="str">
        <f t="shared" ref="I19:I82" ca="1" si="12">IFERROR(IF(I18+1&lt;=$C$2,I18+1,""),"")</f>
        <v/>
      </c>
      <c r="J19" s="87" t="str">
        <f t="shared" ca="1" si="3"/>
        <v/>
      </c>
      <c r="K19" s="96"/>
      <c r="L19" s="83">
        <f ca="1">IF(J19="",0,COUNTIF(L$4:L18,"&gt;0")+MAX($Q$4:$Q$13)+1)</f>
        <v>0</v>
      </c>
      <c r="M19" s="84"/>
      <c r="N19" s="84"/>
      <c r="O19" s="84"/>
      <c r="P19" s="84"/>
      <c r="Q19" s="84"/>
      <c r="R19" s="83"/>
      <c r="S19" s="83" t="str">
        <f t="shared" ca="1" si="5"/>
        <v/>
      </c>
      <c r="T19" s="83" t="str">
        <f t="shared" ca="1" si="6"/>
        <v/>
      </c>
      <c r="U19" s="83" t="str">
        <f t="shared" ca="1" si="0"/>
        <v/>
      </c>
      <c r="V19" s="83" t="e">
        <f ca="1">IF(U19&gt;0,U19+IF(U19="","",COUNTIF($U20:$U$113,U19))*0.00001,"")</f>
        <v>#VALUE!</v>
      </c>
      <c r="W19" s="83"/>
      <c r="X19" s="83" t="str">
        <f t="shared" ca="1" si="1"/>
        <v/>
      </c>
      <c r="Y19" s="83"/>
      <c r="Z19" s="101" t="str">
        <f t="shared" ca="1" si="7"/>
        <v/>
      </c>
      <c r="AA19" s="87" t="str">
        <f t="shared" ca="1" si="8"/>
        <v/>
      </c>
      <c r="AB19" s="95" t="str">
        <f t="shared" ca="1" si="9"/>
        <v/>
      </c>
      <c r="AC19" s="87"/>
      <c r="AD19" s="87"/>
      <c r="AE19" s="87"/>
      <c r="AF19" s="95" t="str">
        <f t="shared" ca="1" si="10"/>
        <v/>
      </c>
      <c r="AG19" s="91"/>
      <c r="AH19" s="87"/>
      <c r="AI19" s="87"/>
      <c r="AJ19" s="87"/>
      <c r="AK19" s="87"/>
      <c r="AL19" s="87"/>
      <c r="AM19" s="87"/>
      <c r="AN19" s="87"/>
      <c r="AO19" s="87"/>
      <c r="AP19" s="87"/>
      <c r="AQ19" s="87"/>
      <c r="AR19" s="87" t="str">
        <f t="shared" si="11"/>
        <v/>
      </c>
      <c r="AS19" s="91"/>
      <c r="AT19" s="91"/>
    </row>
    <row r="20" spans="1:46" x14ac:dyDescent="0.25">
      <c r="A20" s="88">
        <v>4</v>
      </c>
      <c r="B20" s="88" t="str">
        <f ca="1">IF($A20&lt;=$C$4,B19,"")</f>
        <v/>
      </c>
      <c r="C20" s="83">
        <f ca="1">IF(B20="",0,COUNTIF($C$17:C19,"&gt;0")+1)</f>
        <v>0</v>
      </c>
      <c r="D20" s="84"/>
      <c r="E20" s="84"/>
      <c r="F20" s="84"/>
      <c r="G20" s="84"/>
      <c r="H20" s="84"/>
      <c r="I20" s="88" t="str">
        <f t="shared" ca="1" si="12"/>
        <v/>
      </c>
      <c r="J20" s="87" t="str">
        <f t="shared" ca="1" si="3"/>
        <v/>
      </c>
      <c r="K20" s="96"/>
      <c r="L20" s="83">
        <f ca="1">IF(J20="",0,COUNTIF(L$4:L19,"&gt;0")+MAX($Q$4:$Q$13)+1)</f>
        <v>0</v>
      </c>
      <c r="M20" s="84"/>
      <c r="N20" s="84"/>
      <c r="O20" s="84"/>
      <c r="P20" s="84"/>
      <c r="Q20" s="84"/>
      <c r="R20" s="83"/>
      <c r="S20" s="83" t="str">
        <f t="shared" ca="1" si="5"/>
        <v/>
      </c>
      <c r="T20" s="83" t="str">
        <f t="shared" ca="1" si="6"/>
        <v/>
      </c>
      <c r="U20" s="83" t="str">
        <f t="shared" ca="1" si="0"/>
        <v/>
      </c>
      <c r="V20" s="83" t="e">
        <f ca="1">IF(U20&gt;0,U20+IF(U20="","",COUNTIF($U21:$U$113,U20))*0.00001,"")</f>
        <v>#VALUE!</v>
      </c>
      <c r="W20" s="83"/>
      <c r="X20" s="83" t="str">
        <f t="shared" ca="1" si="1"/>
        <v/>
      </c>
      <c r="Y20" s="83"/>
      <c r="Z20" s="101" t="str">
        <f t="shared" ca="1" si="7"/>
        <v/>
      </c>
      <c r="AA20" s="87" t="str">
        <f t="shared" ca="1" si="8"/>
        <v/>
      </c>
      <c r="AB20" s="95" t="str">
        <f t="shared" ca="1" si="9"/>
        <v/>
      </c>
      <c r="AC20" s="87"/>
      <c r="AD20" s="87"/>
      <c r="AE20" s="87"/>
      <c r="AF20" s="95" t="str">
        <f t="shared" ca="1" si="10"/>
        <v/>
      </c>
      <c r="AG20" s="91"/>
      <c r="AH20" s="87"/>
      <c r="AI20" s="87"/>
      <c r="AJ20" s="87"/>
      <c r="AK20" s="87"/>
      <c r="AL20" s="87"/>
      <c r="AM20" s="87"/>
      <c r="AN20" s="87"/>
      <c r="AO20" s="87"/>
      <c r="AP20" s="87"/>
      <c r="AQ20" s="87"/>
      <c r="AR20" s="87" t="str">
        <f t="shared" si="11"/>
        <v/>
      </c>
      <c r="AS20" s="91"/>
      <c r="AT20" s="91"/>
    </row>
    <row r="21" spans="1:46" x14ac:dyDescent="0.25">
      <c r="A21" s="88">
        <v>5</v>
      </c>
      <c r="B21" s="88" t="str">
        <f t="shared" ref="B21:B26" ca="1" si="13">IF($A21&lt;=$C$4,B20,"")</f>
        <v/>
      </c>
      <c r="C21" s="83">
        <f ca="1">IF(B21="",0,COUNTIF($C$17:C20,"&gt;0")+1)</f>
        <v>0</v>
      </c>
      <c r="D21" s="84"/>
      <c r="E21" s="84"/>
      <c r="F21" s="84"/>
      <c r="G21" s="84"/>
      <c r="H21" s="84"/>
      <c r="I21" s="88" t="str">
        <f t="shared" ca="1" si="12"/>
        <v/>
      </c>
      <c r="J21" s="87" t="str">
        <f t="shared" ca="1" si="3"/>
        <v/>
      </c>
      <c r="K21" s="96"/>
      <c r="L21" s="83">
        <f ca="1">IF(J21="",0,COUNTIF(L$4:L20,"&gt;0")+MAX($Q$4:$Q$13)+1)</f>
        <v>0</v>
      </c>
      <c r="M21" s="84"/>
      <c r="N21" s="84"/>
      <c r="O21" s="84"/>
      <c r="P21" s="84"/>
      <c r="Q21" s="84"/>
      <c r="R21" s="83"/>
      <c r="S21" s="83" t="str">
        <f t="shared" ca="1" si="5"/>
        <v/>
      </c>
      <c r="T21" s="83" t="str">
        <f t="shared" ca="1" si="6"/>
        <v/>
      </c>
      <c r="U21" s="83" t="str">
        <f t="shared" ca="1" si="0"/>
        <v/>
      </c>
      <c r="V21" s="83" t="e">
        <f ca="1">IF(U21&gt;0,U21+IF(U21="","",COUNTIF($U22:$U$113,U21))*0.00001,"")</f>
        <v>#VALUE!</v>
      </c>
      <c r="W21" s="83"/>
      <c r="X21" s="83" t="str">
        <f t="shared" ca="1" si="1"/>
        <v/>
      </c>
      <c r="Y21" s="83"/>
      <c r="Z21" s="101" t="str">
        <f t="shared" ca="1" si="7"/>
        <v/>
      </c>
      <c r="AA21" s="87" t="str">
        <f t="shared" ca="1" si="8"/>
        <v/>
      </c>
      <c r="AB21" s="95" t="str">
        <f t="shared" ca="1" si="9"/>
        <v/>
      </c>
      <c r="AC21" s="87"/>
      <c r="AD21" s="87"/>
      <c r="AE21" s="87"/>
      <c r="AF21" s="95" t="str">
        <f t="shared" ca="1" si="10"/>
        <v/>
      </c>
      <c r="AG21" s="91"/>
      <c r="AH21" s="87"/>
      <c r="AI21" s="87"/>
      <c r="AJ21" s="87"/>
      <c r="AK21" s="87"/>
      <c r="AL21" s="87"/>
      <c r="AM21" s="87"/>
      <c r="AN21" s="87"/>
      <c r="AO21" s="87"/>
      <c r="AP21" s="87"/>
      <c r="AQ21" s="87"/>
      <c r="AR21" s="87" t="str">
        <f t="shared" si="11"/>
        <v/>
      </c>
      <c r="AS21" s="91"/>
      <c r="AT21" s="91"/>
    </row>
    <row r="22" spans="1:46" x14ac:dyDescent="0.25">
      <c r="A22" s="88">
        <v>6</v>
      </c>
      <c r="B22" s="88" t="str">
        <f t="shared" ca="1" si="13"/>
        <v/>
      </c>
      <c r="C22" s="83">
        <f ca="1">IF(B22="",0,COUNTIF($C$17:C21,"&gt;0")+1)</f>
        <v>0</v>
      </c>
      <c r="D22" s="84"/>
      <c r="E22" s="84"/>
      <c r="F22" s="84"/>
      <c r="G22" s="84"/>
      <c r="H22" s="84"/>
      <c r="I22" s="88" t="str">
        <f t="shared" ca="1" si="12"/>
        <v/>
      </c>
      <c r="J22" s="87" t="str">
        <f t="shared" ca="1" si="3"/>
        <v/>
      </c>
      <c r="K22" s="96"/>
      <c r="L22" s="83">
        <f ca="1">IF(J22="",0,COUNTIF(L$4:L21,"&gt;0")+MAX($Q$4:$Q$13)+1)</f>
        <v>0</v>
      </c>
      <c r="M22" s="84"/>
      <c r="N22" s="84"/>
      <c r="O22" s="84"/>
      <c r="P22" s="84"/>
      <c r="Q22" s="84"/>
      <c r="R22" s="83"/>
      <c r="S22" s="83" t="str">
        <f t="shared" ca="1" si="5"/>
        <v/>
      </c>
      <c r="T22" s="83" t="str">
        <f t="shared" ca="1" si="6"/>
        <v/>
      </c>
      <c r="U22" s="83" t="str">
        <f t="shared" ca="1" si="0"/>
        <v/>
      </c>
      <c r="V22" s="83"/>
      <c r="W22" s="83"/>
      <c r="X22" s="83" t="str">
        <f t="shared" ca="1" si="1"/>
        <v/>
      </c>
      <c r="Y22" s="83"/>
      <c r="Z22" s="101" t="str">
        <f t="shared" ca="1" si="7"/>
        <v/>
      </c>
      <c r="AA22" s="87" t="str">
        <f t="shared" ca="1" si="8"/>
        <v/>
      </c>
      <c r="AB22" s="95" t="str">
        <f t="shared" ca="1" si="9"/>
        <v/>
      </c>
      <c r="AC22" s="87"/>
      <c r="AD22" s="87"/>
      <c r="AE22" s="87"/>
      <c r="AF22" s="95" t="str">
        <f t="shared" ca="1" si="10"/>
        <v/>
      </c>
      <c r="AG22" s="91"/>
      <c r="AH22" s="87"/>
      <c r="AI22" s="87"/>
      <c r="AJ22" s="87"/>
      <c r="AK22" s="87"/>
      <c r="AL22" s="87"/>
      <c r="AM22" s="87"/>
      <c r="AN22" s="87"/>
      <c r="AO22" s="87"/>
      <c r="AP22" s="87"/>
      <c r="AQ22" s="87"/>
      <c r="AR22" s="87" t="str">
        <f t="shared" si="11"/>
        <v/>
      </c>
      <c r="AS22" s="91"/>
      <c r="AT22" s="91"/>
    </row>
    <row r="23" spans="1:46" x14ac:dyDescent="0.25">
      <c r="A23" s="88">
        <v>7</v>
      </c>
      <c r="B23" s="88" t="str">
        <f t="shared" ca="1" si="13"/>
        <v/>
      </c>
      <c r="C23" s="83">
        <f ca="1">IF(B23="",0,COUNTIF($C$17:C22,"&gt;0")+1)</f>
        <v>0</v>
      </c>
      <c r="D23" s="84"/>
      <c r="E23" s="84"/>
      <c r="F23" s="84"/>
      <c r="G23" s="84"/>
      <c r="H23" s="84"/>
      <c r="I23" s="88" t="str">
        <f t="shared" ca="1" si="12"/>
        <v/>
      </c>
      <c r="J23" s="87" t="str">
        <f t="shared" ca="1" si="3"/>
        <v/>
      </c>
      <c r="K23" s="96"/>
      <c r="L23" s="83">
        <f ca="1">IF(J23="",0,COUNTIF(L$4:L22,"&gt;0")+MAX($Q$4:$Q$13)+1)</f>
        <v>0</v>
      </c>
      <c r="M23" s="84"/>
      <c r="N23" s="84"/>
      <c r="O23" s="84"/>
      <c r="P23" s="84"/>
      <c r="Q23" s="84"/>
      <c r="R23" s="83"/>
      <c r="S23" s="83" t="str">
        <f t="shared" ca="1" si="5"/>
        <v/>
      </c>
      <c r="T23" s="83" t="str">
        <f t="shared" ca="1" si="6"/>
        <v/>
      </c>
      <c r="U23" s="83" t="str">
        <f t="shared" ca="1" si="0"/>
        <v/>
      </c>
      <c r="V23" s="83"/>
      <c r="W23" s="83"/>
      <c r="X23" s="83" t="str">
        <f t="shared" ca="1" si="1"/>
        <v/>
      </c>
      <c r="Y23" s="83"/>
      <c r="Z23" s="101" t="str">
        <f t="shared" ca="1" si="7"/>
        <v/>
      </c>
      <c r="AA23" s="87" t="str">
        <f t="shared" ca="1" si="8"/>
        <v/>
      </c>
      <c r="AB23" s="95" t="str">
        <f t="shared" ca="1" si="9"/>
        <v/>
      </c>
      <c r="AC23" s="87"/>
      <c r="AD23" s="87"/>
      <c r="AE23" s="87"/>
      <c r="AF23" s="95" t="str">
        <f t="shared" ca="1" si="10"/>
        <v/>
      </c>
      <c r="AG23" s="91"/>
      <c r="AH23" s="87"/>
      <c r="AI23" s="87"/>
      <c r="AJ23" s="87"/>
      <c r="AK23" s="87"/>
      <c r="AL23" s="87"/>
      <c r="AM23" s="87"/>
      <c r="AN23" s="87"/>
      <c r="AO23" s="87"/>
      <c r="AP23" s="87"/>
      <c r="AQ23" s="87"/>
      <c r="AR23" s="87" t="str">
        <f t="shared" si="11"/>
        <v/>
      </c>
      <c r="AS23" s="91"/>
      <c r="AT23" s="91"/>
    </row>
    <row r="24" spans="1:46" x14ac:dyDescent="0.25">
      <c r="A24" s="88">
        <v>8</v>
      </c>
      <c r="B24" s="88" t="str">
        <f t="shared" ca="1" si="13"/>
        <v/>
      </c>
      <c r="C24" s="83">
        <f ca="1">IF(B24="",0,COUNTIF($C$17:C23,"&gt;0")+1)</f>
        <v>0</v>
      </c>
      <c r="D24" s="84"/>
      <c r="E24" s="84"/>
      <c r="F24" s="84"/>
      <c r="G24" s="84"/>
      <c r="H24" s="84"/>
      <c r="I24" s="88" t="str">
        <f t="shared" ca="1" si="12"/>
        <v/>
      </c>
      <c r="J24" s="87" t="str">
        <f t="shared" ca="1" si="3"/>
        <v/>
      </c>
      <c r="K24" s="96"/>
      <c r="L24" s="83">
        <f ca="1">IF(J24="",0,COUNTIF(L$4:L23,"&gt;0")+MAX($Q$4:$Q$13)+1)</f>
        <v>0</v>
      </c>
      <c r="M24" s="84"/>
      <c r="N24" s="84"/>
      <c r="O24" s="84"/>
      <c r="P24" s="84"/>
      <c r="Q24" s="84"/>
      <c r="R24" s="83"/>
      <c r="S24" s="83" t="str">
        <f t="shared" ca="1" si="5"/>
        <v/>
      </c>
      <c r="T24" s="83" t="str">
        <f t="shared" ca="1" si="6"/>
        <v/>
      </c>
      <c r="U24" s="83" t="str">
        <f t="shared" ca="1" si="0"/>
        <v/>
      </c>
      <c r="V24" s="83"/>
      <c r="W24" s="83"/>
      <c r="X24" s="83" t="str">
        <f t="shared" ca="1" si="1"/>
        <v/>
      </c>
      <c r="Y24" s="83"/>
      <c r="Z24" s="101" t="str">
        <f t="shared" ca="1" si="7"/>
        <v/>
      </c>
      <c r="AA24" s="87" t="str">
        <f t="shared" ca="1" si="8"/>
        <v/>
      </c>
      <c r="AB24" s="95" t="str">
        <f t="shared" ca="1" si="9"/>
        <v/>
      </c>
      <c r="AC24" s="87"/>
      <c r="AD24" s="87"/>
      <c r="AE24" s="87"/>
      <c r="AF24" s="95" t="str">
        <f t="shared" ca="1" si="10"/>
        <v/>
      </c>
      <c r="AG24" s="91"/>
      <c r="AH24" s="87"/>
      <c r="AI24" s="87"/>
      <c r="AJ24" s="87"/>
      <c r="AK24" s="87"/>
      <c r="AL24" s="87"/>
      <c r="AM24" s="87"/>
      <c r="AN24" s="87"/>
      <c r="AO24" s="87"/>
      <c r="AP24" s="87"/>
      <c r="AQ24" s="87"/>
      <c r="AR24" s="87" t="str">
        <f t="shared" si="11"/>
        <v/>
      </c>
      <c r="AS24" s="91"/>
      <c r="AT24" s="91"/>
    </row>
    <row r="25" spans="1:46" x14ac:dyDescent="0.25">
      <c r="A25" s="88">
        <v>9</v>
      </c>
      <c r="B25" s="88" t="str">
        <f t="shared" ca="1" si="13"/>
        <v/>
      </c>
      <c r="C25" s="83">
        <f ca="1">IF(B25="",0,COUNTIF($C$17:C24,"&gt;0")+1)</f>
        <v>0</v>
      </c>
      <c r="D25" s="84"/>
      <c r="E25" s="84"/>
      <c r="F25" s="84"/>
      <c r="G25" s="84"/>
      <c r="H25" s="84"/>
      <c r="I25" s="88" t="str">
        <f t="shared" ca="1" si="12"/>
        <v/>
      </c>
      <c r="J25" s="87" t="str">
        <f t="shared" ca="1" si="3"/>
        <v/>
      </c>
      <c r="K25" s="96"/>
      <c r="L25" s="83">
        <f ca="1">IF(J25="",0,COUNTIF(L$4:L24,"&gt;0")+MAX($Q$4:$Q$13)+1)</f>
        <v>0</v>
      </c>
      <c r="M25" s="84"/>
      <c r="N25" s="84"/>
      <c r="O25" s="84"/>
      <c r="P25" s="84"/>
      <c r="Q25" s="84"/>
      <c r="R25" s="83"/>
      <c r="S25" s="83" t="str">
        <f t="shared" ca="1" si="5"/>
        <v/>
      </c>
      <c r="T25" s="83" t="str">
        <f t="shared" ca="1" si="6"/>
        <v/>
      </c>
      <c r="U25" s="83" t="str">
        <f t="shared" ca="1" si="0"/>
        <v/>
      </c>
      <c r="V25" s="83"/>
      <c r="W25" s="83"/>
      <c r="X25" s="83" t="str">
        <f t="shared" ca="1" si="1"/>
        <v/>
      </c>
      <c r="Y25" s="83"/>
      <c r="Z25" s="101" t="str">
        <f t="shared" ca="1" si="7"/>
        <v/>
      </c>
      <c r="AA25" s="87" t="str">
        <f t="shared" ca="1" si="8"/>
        <v/>
      </c>
      <c r="AB25" s="95" t="str">
        <f t="shared" ca="1" si="9"/>
        <v/>
      </c>
      <c r="AC25" s="87"/>
      <c r="AD25" s="87"/>
      <c r="AE25" s="87"/>
      <c r="AF25" s="95" t="str">
        <f t="shared" ca="1" si="10"/>
        <v/>
      </c>
      <c r="AG25" s="91"/>
      <c r="AH25" s="87"/>
      <c r="AI25" s="87"/>
      <c r="AJ25" s="87"/>
      <c r="AK25" s="87"/>
      <c r="AL25" s="87"/>
      <c r="AM25" s="87"/>
      <c r="AN25" s="87"/>
      <c r="AO25" s="87"/>
      <c r="AP25" s="87"/>
      <c r="AQ25" s="87"/>
      <c r="AR25" s="87" t="str">
        <f t="shared" si="11"/>
        <v/>
      </c>
      <c r="AS25" s="91"/>
      <c r="AT25" s="91"/>
    </row>
    <row r="26" spans="1:46" x14ac:dyDescent="0.25">
      <c r="A26" s="88">
        <v>10</v>
      </c>
      <c r="B26" s="88" t="str">
        <f t="shared" ca="1" si="13"/>
        <v/>
      </c>
      <c r="C26" s="83">
        <f ca="1">IF(B26="",0,COUNTIF($C$17:C25,"&gt;0")+1)</f>
        <v>0</v>
      </c>
      <c r="D26" s="84"/>
      <c r="E26" s="84"/>
      <c r="F26" s="84"/>
      <c r="G26" s="84"/>
      <c r="H26" s="84"/>
      <c r="I26" s="88" t="str">
        <f t="shared" ca="1" si="12"/>
        <v/>
      </c>
      <c r="J26" s="87" t="str">
        <f t="shared" ca="1" si="3"/>
        <v/>
      </c>
      <c r="K26" s="96"/>
      <c r="L26" s="83">
        <f ca="1">IF(J26="",0,COUNTIF(L$4:L25,"&gt;0")+MAX($Q$4:$Q$13)+1)</f>
        <v>0</v>
      </c>
      <c r="M26" s="84"/>
      <c r="N26" s="84"/>
      <c r="O26" s="84"/>
      <c r="P26" s="84"/>
      <c r="Q26" s="84"/>
      <c r="R26" s="83"/>
      <c r="S26" s="83" t="str">
        <f t="shared" ca="1" si="5"/>
        <v/>
      </c>
      <c r="T26" s="83" t="str">
        <f t="shared" ca="1" si="6"/>
        <v/>
      </c>
      <c r="U26" s="83" t="str">
        <f t="shared" ca="1" si="0"/>
        <v/>
      </c>
      <c r="V26" s="83"/>
      <c r="W26" s="83"/>
      <c r="X26" s="83" t="str">
        <f t="shared" ca="1" si="1"/>
        <v/>
      </c>
      <c r="Y26" s="83"/>
      <c r="Z26" s="101" t="str">
        <f t="shared" ca="1" si="7"/>
        <v/>
      </c>
      <c r="AA26" s="87" t="str">
        <f t="shared" ca="1" si="8"/>
        <v/>
      </c>
      <c r="AB26" s="95" t="str">
        <f t="shared" ca="1" si="9"/>
        <v/>
      </c>
      <c r="AC26" s="87"/>
      <c r="AD26" s="87"/>
      <c r="AE26" s="87"/>
      <c r="AF26" s="95" t="str">
        <f t="shared" ca="1" si="10"/>
        <v/>
      </c>
      <c r="AG26" s="91"/>
      <c r="AH26" s="87"/>
      <c r="AI26" s="87"/>
      <c r="AJ26" s="87"/>
      <c r="AK26" s="87"/>
      <c r="AL26" s="87"/>
      <c r="AM26" s="87"/>
      <c r="AN26" s="87"/>
      <c r="AO26" s="87"/>
      <c r="AP26" s="87"/>
      <c r="AQ26" s="87"/>
      <c r="AR26" s="87" t="str">
        <f t="shared" si="11"/>
        <v/>
      </c>
      <c r="AS26" s="91"/>
      <c r="AT26" s="91"/>
    </row>
    <row r="27" spans="1:46" x14ac:dyDescent="0.25">
      <c r="A27" s="90">
        <v>11</v>
      </c>
      <c r="B27" s="90" t="str">
        <f ca="1">IF(B5=0,"",B5)</f>
        <v>DragonClaw</v>
      </c>
      <c r="C27" s="83">
        <f ca="1">IF(B27="",0,COUNTIF($C$17:C26,"&gt;0")+1)</f>
        <v>3</v>
      </c>
      <c r="D27" s="84"/>
      <c r="E27" s="84"/>
      <c r="F27" s="84"/>
      <c r="G27" s="84"/>
      <c r="H27" s="84"/>
      <c r="I27" s="88" t="str">
        <f t="shared" ca="1" si="12"/>
        <v/>
      </c>
      <c r="J27" s="87" t="str">
        <f t="shared" ca="1" si="3"/>
        <v/>
      </c>
      <c r="K27" s="96"/>
      <c r="L27" s="83">
        <f ca="1">IF(J27="",0,COUNTIF(L$4:L26,"&gt;0")+MAX($Q$4:$Q$13)+1)</f>
        <v>0</v>
      </c>
      <c r="M27" s="84"/>
      <c r="N27" s="84"/>
      <c r="O27" s="84"/>
      <c r="P27" s="84"/>
      <c r="Q27" s="84"/>
      <c r="R27" s="83"/>
      <c r="S27" s="83" t="str">
        <f t="shared" ca="1" si="5"/>
        <v/>
      </c>
      <c r="T27" s="83" t="str">
        <f t="shared" ca="1" si="6"/>
        <v/>
      </c>
      <c r="U27" s="83" t="str">
        <f t="shared" ca="1" si="0"/>
        <v/>
      </c>
      <c r="V27" s="83"/>
      <c r="W27" s="83"/>
      <c r="X27" s="83" t="str">
        <f t="shared" ca="1" si="1"/>
        <v/>
      </c>
      <c r="Y27" s="83"/>
      <c r="Z27" s="101" t="str">
        <f t="shared" ca="1" si="7"/>
        <v/>
      </c>
      <c r="AA27" s="87" t="str">
        <f t="shared" ca="1" si="8"/>
        <v/>
      </c>
      <c r="AB27" s="95" t="str">
        <f t="shared" ca="1" si="9"/>
        <v/>
      </c>
      <c r="AC27" s="87"/>
      <c r="AD27" s="87"/>
      <c r="AE27" s="87"/>
      <c r="AF27" s="95" t="str">
        <f t="shared" ca="1" si="10"/>
        <v/>
      </c>
      <c r="AG27" s="91"/>
      <c r="AH27" s="87"/>
      <c r="AI27" s="87"/>
      <c r="AJ27" s="87"/>
      <c r="AK27" s="87"/>
      <c r="AL27" s="87"/>
      <c r="AM27" s="87"/>
      <c r="AN27" s="87"/>
      <c r="AO27" s="87"/>
      <c r="AP27" s="87"/>
      <c r="AQ27" s="87"/>
      <c r="AR27" s="87" t="str">
        <f t="shared" si="11"/>
        <v/>
      </c>
      <c r="AS27" s="91"/>
      <c r="AT27" s="91"/>
    </row>
    <row r="28" spans="1:46" x14ac:dyDescent="0.25">
      <c r="A28" s="90">
        <v>12</v>
      </c>
      <c r="B28" s="90" t="str">
        <f ca="1">IF($A18&lt;=$C$5,B27,"")</f>
        <v>DragonClaw</v>
      </c>
      <c r="C28" s="83">
        <f ca="1">IF(B28="",0,COUNTIF($C$17:C27,"&gt;0")+1)</f>
        <v>4</v>
      </c>
      <c r="D28" s="84"/>
      <c r="E28" s="84"/>
      <c r="F28" s="84"/>
      <c r="G28" s="84"/>
      <c r="H28" s="84"/>
      <c r="I28" s="88" t="str">
        <f t="shared" ca="1" si="12"/>
        <v/>
      </c>
      <c r="J28" s="87" t="str">
        <f t="shared" ca="1" si="3"/>
        <v/>
      </c>
      <c r="K28" s="96"/>
      <c r="L28" s="83">
        <f ca="1">IF(J28="",0,COUNTIF(L$4:L27,"&gt;0")+MAX($Q$4:$Q$13)+1)</f>
        <v>0</v>
      </c>
      <c r="M28" s="84"/>
      <c r="N28" s="84"/>
      <c r="O28" s="84"/>
      <c r="P28" s="84"/>
      <c r="Q28" s="84"/>
      <c r="R28" s="83"/>
      <c r="S28" s="83" t="str">
        <f t="shared" ca="1" si="5"/>
        <v/>
      </c>
      <c r="T28" s="83" t="str">
        <f t="shared" ca="1" si="6"/>
        <v/>
      </c>
      <c r="U28" s="83" t="str">
        <f t="shared" ca="1" si="0"/>
        <v/>
      </c>
      <c r="V28" s="83"/>
      <c r="W28" s="83"/>
      <c r="X28" s="83" t="str">
        <f t="shared" ca="1" si="1"/>
        <v/>
      </c>
      <c r="Y28" s="83"/>
      <c r="Z28" s="101" t="str">
        <f t="shared" ca="1" si="7"/>
        <v/>
      </c>
      <c r="AA28" s="87" t="str">
        <f t="shared" ca="1" si="8"/>
        <v/>
      </c>
      <c r="AB28" s="95" t="str">
        <f t="shared" ca="1" si="9"/>
        <v/>
      </c>
      <c r="AC28" s="87"/>
      <c r="AD28" s="87"/>
      <c r="AE28" s="87"/>
      <c r="AF28" s="95" t="str">
        <f t="shared" ca="1" si="10"/>
        <v/>
      </c>
      <c r="AG28" s="91"/>
      <c r="AH28" s="87"/>
      <c r="AI28" s="87"/>
      <c r="AJ28" s="87"/>
      <c r="AK28" s="87"/>
      <c r="AL28" s="87"/>
      <c r="AM28" s="87"/>
      <c r="AN28" s="87"/>
      <c r="AO28" s="87"/>
      <c r="AP28" s="87"/>
      <c r="AQ28" s="87"/>
      <c r="AR28" s="87" t="str">
        <f t="shared" si="11"/>
        <v/>
      </c>
      <c r="AS28" s="91"/>
      <c r="AT28" s="91"/>
    </row>
    <row r="29" spans="1:46" x14ac:dyDescent="0.25">
      <c r="A29" s="90">
        <v>13</v>
      </c>
      <c r="B29" s="90" t="str">
        <f t="shared" ref="B29:B36" ca="1" si="14">IF($A19&lt;=$C$5,B28,"")</f>
        <v/>
      </c>
      <c r="C29" s="83">
        <f ca="1">IF(B29="",0,COUNTIF($C$17:C28,"&gt;0")+1)</f>
        <v>0</v>
      </c>
      <c r="D29" s="84"/>
      <c r="E29" s="84"/>
      <c r="F29" s="84"/>
      <c r="G29" s="84"/>
      <c r="H29" s="84"/>
      <c r="I29" s="88" t="str">
        <f t="shared" ca="1" si="12"/>
        <v/>
      </c>
      <c r="J29" s="87" t="str">
        <f t="shared" ca="1" si="3"/>
        <v/>
      </c>
      <c r="K29" s="96"/>
      <c r="L29" s="83">
        <f ca="1">IF(J29="",0,COUNTIF(L$4:L28,"&gt;0")+MAX($Q$4:$Q$13)+1)</f>
        <v>0</v>
      </c>
      <c r="M29" s="84"/>
      <c r="N29" s="84"/>
      <c r="O29" s="84"/>
      <c r="P29" s="84"/>
      <c r="Q29" s="84"/>
      <c r="R29" s="83"/>
      <c r="S29" s="83" t="str">
        <f t="shared" ca="1" si="5"/>
        <v/>
      </c>
      <c r="T29" s="83" t="str">
        <f t="shared" ca="1" si="6"/>
        <v/>
      </c>
      <c r="U29" s="83" t="str">
        <f t="shared" ca="1" si="0"/>
        <v/>
      </c>
      <c r="V29" s="83"/>
      <c r="W29" s="83"/>
      <c r="X29" s="83" t="str">
        <f t="shared" ca="1" si="1"/>
        <v/>
      </c>
      <c r="Y29" s="83"/>
      <c r="Z29" s="101" t="str">
        <f t="shared" ca="1" si="7"/>
        <v/>
      </c>
      <c r="AA29" s="87" t="str">
        <f t="shared" ca="1" si="8"/>
        <v/>
      </c>
      <c r="AB29" s="95" t="str">
        <f t="shared" ca="1" si="9"/>
        <v/>
      </c>
      <c r="AC29" s="87"/>
      <c r="AD29" s="87"/>
      <c r="AE29" s="87"/>
      <c r="AF29" s="95" t="str">
        <f t="shared" ca="1" si="10"/>
        <v/>
      </c>
      <c r="AG29" s="91"/>
      <c r="AH29" s="87"/>
      <c r="AI29" s="87"/>
      <c r="AJ29" s="87"/>
      <c r="AK29" s="87"/>
      <c r="AL29" s="87"/>
      <c r="AM29" s="87"/>
      <c r="AN29" s="87"/>
      <c r="AO29" s="87"/>
      <c r="AP29" s="87"/>
      <c r="AQ29" s="87"/>
      <c r="AR29" s="87" t="str">
        <f t="shared" si="11"/>
        <v/>
      </c>
      <c r="AS29" s="91"/>
      <c r="AT29" s="91"/>
    </row>
    <row r="30" spans="1:46" x14ac:dyDescent="0.25">
      <c r="A30" s="90">
        <v>14</v>
      </c>
      <c r="B30" s="90" t="str">
        <f t="shared" ca="1" si="14"/>
        <v/>
      </c>
      <c r="C30" s="83">
        <f ca="1">IF(B30="",0,COUNTIF($C$17:C29,"&gt;0")+1)</f>
        <v>0</v>
      </c>
      <c r="D30" s="84"/>
      <c r="E30" s="84"/>
      <c r="F30" s="84"/>
      <c r="G30" s="84"/>
      <c r="H30" s="84"/>
      <c r="I30" s="88" t="str">
        <f t="shared" ca="1" si="12"/>
        <v/>
      </c>
      <c r="J30" s="87" t="str">
        <f t="shared" ca="1" si="3"/>
        <v/>
      </c>
      <c r="K30" s="96"/>
      <c r="L30" s="83">
        <f ca="1">IF(J30="",0,COUNTIF(L$4:L29,"&gt;0")+MAX($Q$4:$Q$13)+1)</f>
        <v>0</v>
      </c>
      <c r="M30" s="84"/>
      <c r="N30" s="84"/>
      <c r="O30" s="84"/>
      <c r="P30" s="84"/>
      <c r="Q30" s="84"/>
      <c r="R30" s="83"/>
      <c r="S30" s="83" t="str">
        <f t="shared" ca="1" si="5"/>
        <v/>
      </c>
      <c r="T30" s="83" t="str">
        <f t="shared" ca="1" si="6"/>
        <v/>
      </c>
      <c r="U30" s="83" t="str">
        <f t="shared" ca="1" si="0"/>
        <v/>
      </c>
      <c r="V30" s="83"/>
      <c r="W30" s="83"/>
      <c r="X30" s="83" t="str">
        <f t="shared" ca="1" si="1"/>
        <v/>
      </c>
      <c r="Y30" s="83"/>
      <c r="Z30" s="101" t="str">
        <f t="shared" ca="1" si="7"/>
        <v/>
      </c>
      <c r="AA30" s="87" t="str">
        <f t="shared" ca="1" si="8"/>
        <v/>
      </c>
      <c r="AB30" s="95" t="str">
        <f t="shared" ca="1" si="9"/>
        <v/>
      </c>
      <c r="AC30" s="87"/>
      <c r="AD30" s="87"/>
      <c r="AE30" s="87"/>
      <c r="AF30" s="95" t="str">
        <f t="shared" ca="1" si="10"/>
        <v/>
      </c>
      <c r="AG30" s="91"/>
      <c r="AH30" s="87"/>
      <c r="AI30" s="87"/>
      <c r="AJ30" s="87"/>
      <c r="AK30" s="87"/>
      <c r="AL30" s="87"/>
      <c r="AM30" s="87"/>
      <c r="AN30" s="87"/>
      <c r="AO30" s="87"/>
      <c r="AP30" s="87"/>
      <c r="AQ30" s="87"/>
      <c r="AR30" s="87" t="str">
        <f t="shared" si="11"/>
        <v/>
      </c>
      <c r="AS30" s="91"/>
      <c r="AT30" s="91"/>
    </row>
    <row r="31" spans="1:46" x14ac:dyDescent="0.25">
      <c r="A31" s="90">
        <v>15</v>
      </c>
      <c r="B31" s="90" t="str">
        <f t="shared" ca="1" si="14"/>
        <v/>
      </c>
      <c r="C31" s="83">
        <f ca="1">IF(B31="",0,COUNTIF($C$17:C30,"&gt;0")+1)</f>
        <v>0</v>
      </c>
      <c r="D31" s="84"/>
      <c r="E31" s="84"/>
      <c r="F31" s="84"/>
      <c r="G31" s="84"/>
      <c r="H31" s="84"/>
      <c r="I31" s="88" t="str">
        <f t="shared" ca="1" si="12"/>
        <v/>
      </c>
      <c r="J31" s="87" t="str">
        <f t="shared" ca="1" si="3"/>
        <v/>
      </c>
      <c r="K31" s="96"/>
      <c r="L31" s="83">
        <f ca="1">IF(J31="",0,COUNTIF(L$4:L30,"&gt;0")+MAX($Q$4:$Q$13)+1)</f>
        <v>0</v>
      </c>
      <c r="M31" s="84"/>
      <c r="N31" s="84"/>
      <c r="O31" s="84"/>
      <c r="P31" s="84"/>
      <c r="Q31" s="84"/>
      <c r="R31" s="83"/>
      <c r="S31" s="83" t="str">
        <f t="shared" ca="1" si="5"/>
        <v/>
      </c>
      <c r="T31" s="83" t="str">
        <f t="shared" ca="1" si="6"/>
        <v/>
      </c>
      <c r="U31" s="83" t="str">
        <f t="shared" ca="1" si="0"/>
        <v/>
      </c>
      <c r="V31" s="83"/>
      <c r="W31" s="83"/>
      <c r="X31" s="83" t="str">
        <f t="shared" ca="1" si="1"/>
        <v/>
      </c>
      <c r="Y31" s="83"/>
      <c r="Z31" s="101" t="str">
        <f t="shared" ca="1" si="7"/>
        <v/>
      </c>
      <c r="AA31" s="87" t="str">
        <f t="shared" ca="1" si="8"/>
        <v/>
      </c>
      <c r="AB31" s="95" t="str">
        <f t="shared" ca="1" si="9"/>
        <v/>
      </c>
      <c r="AC31" s="87"/>
      <c r="AD31" s="87"/>
      <c r="AE31" s="87"/>
      <c r="AF31" s="95" t="str">
        <f t="shared" ca="1" si="10"/>
        <v/>
      </c>
      <c r="AG31" s="91"/>
      <c r="AH31" s="87"/>
      <c r="AI31" s="87"/>
      <c r="AJ31" s="87"/>
      <c r="AK31" s="87"/>
      <c r="AL31" s="87"/>
      <c r="AM31" s="87"/>
      <c r="AN31" s="87"/>
      <c r="AO31" s="87"/>
      <c r="AP31" s="87"/>
      <c r="AQ31" s="87"/>
      <c r="AR31" s="87" t="str">
        <f t="shared" si="11"/>
        <v/>
      </c>
      <c r="AS31" s="91"/>
      <c r="AT31" s="91"/>
    </row>
    <row r="32" spans="1:46" x14ac:dyDescent="0.25">
      <c r="A32" s="90">
        <v>16</v>
      </c>
      <c r="B32" s="90" t="str">
        <f t="shared" ca="1" si="14"/>
        <v/>
      </c>
      <c r="C32" s="83">
        <f ca="1">IF(B32="",0,COUNTIF($C$17:C31,"&gt;0")+1)</f>
        <v>0</v>
      </c>
      <c r="D32" s="84"/>
      <c r="E32" s="84"/>
      <c r="F32" s="84"/>
      <c r="G32" s="84"/>
      <c r="H32" s="84"/>
      <c r="I32" s="88" t="str">
        <f t="shared" ca="1" si="12"/>
        <v/>
      </c>
      <c r="J32" s="87" t="str">
        <f t="shared" ca="1" si="3"/>
        <v/>
      </c>
      <c r="K32" s="96"/>
      <c r="L32" s="83">
        <f ca="1">IF(J32="",0,COUNTIF(L$4:L31,"&gt;0")+MAX($Q$4:$Q$13)+1)</f>
        <v>0</v>
      </c>
      <c r="M32" s="84"/>
      <c r="N32" s="84"/>
      <c r="O32" s="84"/>
      <c r="P32" s="84"/>
      <c r="Q32" s="84"/>
      <c r="R32" s="83"/>
      <c r="S32" s="83" t="str">
        <f t="shared" ca="1" si="5"/>
        <v/>
      </c>
      <c r="T32" s="83" t="str">
        <f t="shared" ca="1" si="6"/>
        <v/>
      </c>
      <c r="U32" s="83" t="str">
        <f t="shared" ca="1" si="0"/>
        <v/>
      </c>
      <c r="V32" s="83"/>
      <c r="W32" s="83"/>
      <c r="X32" s="83" t="str">
        <f t="shared" ca="1" si="1"/>
        <v/>
      </c>
      <c r="Y32" s="83"/>
      <c r="Z32" s="101" t="str">
        <f t="shared" ca="1" si="7"/>
        <v/>
      </c>
      <c r="AA32" s="87" t="str">
        <f t="shared" ca="1" si="8"/>
        <v/>
      </c>
      <c r="AB32" s="95" t="str">
        <f t="shared" ca="1" si="9"/>
        <v/>
      </c>
      <c r="AC32" s="87"/>
      <c r="AD32" s="87"/>
      <c r="AE32" s="87"/>
      <c r="AF32" s="95" t="str">
        <f t="shared" ca="1" si="10"/>
        <v/>
      </c>
      <c r="AG32" s="91"/>
      <c r="AH32" s="87"/>
      <c r="AI32" s="87"/>
      <c r="AJ32" s="87"/>
      <c r="AK32" s="87"/>
      <c r="AL32" s="87"/>
      <c r="AM32" s="87"/>
      <c r="AN32" s="87"/>
      <c r="AO32" s="87"/>
      <c r="AP32" s="87"/>
      <c r="AQ32" s="87"/>
      <c r="AR32" s="87" t="str">
        <f t="shared" si="11"/>
        <v/>
      </c>
      <c r="AS32" s="91"/>
      <c r="AT32" s="91"/>
    </row>
    <row r="33" spans="1:46" x14ac:dyDescent="0.25">
      <c r="A33" s="90">
        <v>17</v>
      </c>
      <c r="B33" s="90" t="str">
        <f t="shared" ca="1" si="14"/>
        <v/>
      </c>
      <c r="C33" s="83">
        <f ca="1">IF(B33="",0,COUNTIF($C$17:C32,"&gt;0")+1)</f>
        <v>0</v>
      </c>
      <c r="D33" s="84"/>
      <c r="E33" s="84"/>
      <c r="F33" s="84"/>
      <c r="G33" s="84"/>
      <c r="H33" s="84"/>
      <c r="I33" s="88" t="str">
        <f t="shared" ca="1" si="12"/>
        <v/>
      </c>
      <c r="J33" s="87" t="str">
        <f t="shared" ca="1" si="3"/>
        <v/>
      </c>
      <c r="K33" s="96"/>
      <c r="L33" s="83">
        <f ca="1">IF(J33="",0,COUNTIF(L$4:L32,"&gt;0")+MAX($Q$4:$Q$13)+1)</f>
        <v>0</v>
      </c>
      <c r="M33" s="84"/>
      <c r="N33" s="84"/>
      <c r="O33" s="84"/>
      <c r="P33" s="84"/>
      <c r="Q33" s="84"/>
      <c r="R33" s="83"/>
      <c r="S33" s="83" t="str">
        <f t="shared" ca="1" si="5"/>
        <v/>
      </c>
      <c r="T33" s="83" t="str">
        <f t="shared" ca="1" si="6"/>
        <v/>
      </c>
      <c r="U33" s="83" t="str">
        <f t="shared" ca="1" si="0"/>
        <v/>
      </c>
      <c r="V33" s="83"/>
      <c r="W33" s="83"/>
      <c r="X33" s="83" t="str">
        <f t="shared" ca="1" si="1"/>
        <v/>
      </c>
      <c r="Y33" s="83"/>
      <c r="Z33" s="101" t="str">
        <f t="shared" ca="1" si="7"/>
        <v/>
      </c>
      <c r="AA33" s="87" t="str">
        <f t="shared" ca="1" si="8"/>
        <v/>
      </c>
      <c r="AB33" s="95" t="str">
        <f t="shared" ca="1" si="9"/>
        <v/>
      </c>
      <c r="AC33" s="87"/>
      <c r="AD33" s="87"/>
      <c r="AE33" s="87"/>
      <c r="AF33" s="95" t="str">
        <f t="shared" ca="1" si="10"/>
        <v/>
      </c>
      <c r="AG33" s="91"/>
      <c r="AH33" s="87"/>
      <c r="AI33" s="87"/>
      <c r="AJ33" s="87"/>
      <c r="AK33" s="87"/>
      <c r="AL33" s="87"/>
      <c r="AM33" s="87"/>
      <c r="AN33" s="87"/>
      <c r="AO33" s="87"/>
      <c r="AP33" s="87"/>
      <c r="AQ33" s="87"/>
      <c r="AR33" s="87" t="str">
        <f t="shared" si="11"/>
        <v/>
      </c>
      <c r="AS33" s="91"/>
      <c r="AT33" s="91"/>
    </row>
    <row r="34" spans="1:46" x14ac:dyDescent="0.25">
      <c r="A34" s="90">
        <v>18</v>
      </c>
      <c r="B34" s="90" t="str">
        <f t="shared" ca="1" si="14"/>
        <v/>
      </c>
      <c r="C34" s="83">
        <f ca="1">IF(B34="",0,COUNTIF($C$17:C33,"&gt;0")+1)</f>
        <v>0</v>
      </c>
      <c r="D34" s="84"/>
      <c r="E34" s="84"/>
      <c r="F34" s="84"/>
      <c r="G34" s="84"/>
      <c r="H34" s="84"/>
      <c r="I34" s="88" t="str">
        <f t="shared" ca="1" si="12"/>
        <v/>
      </c>
      <c r="J34" s="87" t="str">
        <f t="shared" ca="1" si="3"/>
        <v/>
      </c>
      <c r="K34" s="96"/>
      <c r="L34" s="83">
        <f ca="1">IF(J34="",0,COUNTIF(L$4:L33,"&gt;0")+MAX($Q$4:$Q$13)+1)</f>
        <v>0</v>
      </c>
      <c r="M34" s="84"/>
      <c r="N34" s="84"/>
      <c r="O34" s="84"/>
      <c r="P34" s="84"/>
      <c r="Q34" s="84"/>
      <c r="R34" s="83"/>
      <c r="S34" s="83" t="str">
        <f t="shared" ca="1" si="5"/>
        <v/>
      </c>
      <c r="T34" s="83" t="str">
        <f t="shared" ca="1" si="6"/>
        <v/>
      </c>
      <c r="U34" s="83" t="str">
        <f t="shared" ca="1" si="0"/>
        <v/>
      </c>
      <c r="V34" s="83"/>
      <c r="W34" s="83"/>
      <c r="X34" s="83" t="str">
        <f t="shared" ca="1" si="1"/>
        <v/>
      </c>
      <c r="Y34" s="83"/>
      <c r="Z34" s="101" t="str">
        <f t="shared" ca="1" si="7"/>
        <v/>
      </c>
      <c r="AA34" s="87" t="str">
        <f t="shared" ca="1" si="8"/>
        <v/>
      </c>
      <c r="AB34" s="95" t="str">
        <f t="shared" ca="1" si="9"/>
        <v/>
      </c>
      <c r="AC34" s="87"/>
      <c r="AD34" s="87"/>
      <c r="AE34" s="87"/>
      <c r="AF34" s="95" t="str">
        <f t="shared" ca="1" si="10"/>
        <v/>
      </c>
      <c r="AG34" s="91"/>
      <c r="AH34" s="87"/>
      <c r="AI34" s="87"/>
      <c r="AJ34" s="87"/>
      <c r="AK34" s="87"/>
      <c r="AL34" s="87"/>
      <c r="AM34" s="87"/>
      <c r="AN34" s="87"/>
      <c r="AO34" s="87"/>
      <c r="AP34" s="87"/>
      <c r="AQ34" s="87"/>
      <c r="AR34" s="87" t="str">
        <f t="shared" si="11"/>
        <v/>
      </c>
      <c r="AS34" s="91"/>
      <c r="AT34" s="91"/>
    </row>
    <row r="35" spans="1:46" x14ac:dyDescent="0.25">
      <c r="A35" s="90">
        <v>19</v>
      </c>
      <c r="B35" s="90" t="str">
        <f t="shared" ca="1" si="14"/>
        <v/>
      </c>
      <c r="C35" s="83">
        <f ca="1">IF(B35="",0,COUNTIF($C$17:C34,"&gt;0")+1)</f>
        <v>0</v>
      </c>
      <c r="D35" s="84"/>
      <c r="E35" s="84"/>
      <c r="F35" s="84"/>
      <c r="G35" s="84"/>
      <c r="H35" s="84"/>
      <c r="I35" s="88" t="str">
        <f t="shared" ca="1" si="12"/>
        <v/>
      </c>
      <c r="J35" s="87" t="str">
        <f t="shared" ca="1" si="3"/>
        <v/>
      </c>
      <c r="K35" s="96"/>
      <c r="L35" s="83">
        <f ca="1">IF(J35="",0,COUNTIF(L$4:L34,"&gt;0")+MAX($Q$4:$Q$13)+1)</f>
        <v>0</v>
      </c>
      <c r="M35" s="84"/>
      <c r="N35" s="84"/>
      <c r="O35" s="84"/>
      <c r="P35" s="84"/>
      <c r="Q35" s="84"/>
      <c r="R35" s="83"/>
      <c r="S35" s="83" t="str">
        <f t="shared" ca="1" si="5"/>
        <v/>
      </c>
      <c r="T35" s="83" t="str">
        <f t="shared" ca="1" si="6"/>
        <v/>
      </c>
      <c r="U35" s="83" t="str">
        <f t="shared" ca="1" si="0"/>
        <v/>
      </c>
      <c r="V35" s="83"/>
      <c r="W35" s="83"/>
      <c r="X35" s="83" t="str">
        <f t="shared" ca="1" si="1"/>
        <v/>
      </c>
      <c r="Y35" s="83"/>
      <c r="Z35" s="101" t="str">
        <f t="shared" ca="1" si="7"/>
        <v/>
      </c>
      <c r="AA35" s="87" t="str">
        <f t="shared" ca="1" si="8"/>
        <v/>
      </c>
      <c r="AB35" s="95" t="str">
        <f t="shared" ca="1" si="9"/>
        <v/>
      </c>
      <c r="AC35" s="87"/>
      <c r="AD35" s="87"/>
      <c r="AE35" s="87"/>
      <c r="AF35" s="95" t="str">
        <f t="shared" ca="1" si="10"/>
        <v/>
      </c>
      <c r="AG35" s="91"/>
      <c r="AH35" s="87"/>
      <c r="AI35" s="87"/>
      <c r="AJ35" s="87"/>
      <c r="AK35" s="87"/>
      <c r="AL35" s="87"/>
      <c r="AM35" s="87"/>
      <c r="AN35" s="87"/>
      <c r="AO35" s="87"/>
      <c r="AP35" s="87"/>
      <c r="AQ35" s="87"/>
      <c r="AR35" s="87" t="str">
        <f t="shared" si="11"/>
        <v/>
      </c>
      <c r="AS35" s="91"/>
      <c r="AT35" s="91"/>
    </row>
    <row r="36" spans="1:46" x14ac:dyDescent="0.25">
      <c r="A36" s="90">
        <v>20</v>
      </c>
      <c r="B36" s="90" t="str">
        <f t="shared" ca="1" si="14"/>
        <v/>
      </c>
      <c r="C36" s="83">
        <f ca="1">IF(B36="",0,COUNTIF($C$17:C35,"&gt;0")+1)</f>
        <v>0</v>
      </c>
      <c r="D36" s="84"/>
      <c r="E36" s="84"/>
      <c r="F36" s="84"/>
      <c r="G36" s="84"/>
      <c r="H36" s="84"/>
      <c r="I36" s="88" t="str">
        <f t="shared" ca="1" si="12"/>
        <v/>
      </c>
      <c r="J36" s="87" t="str">
        <f t="shared" ca="1" si="3"/>
        <v/>
      </c>
      <c r="K36" s="96"/>
      <c r="L36" s="83">
        <f ca="1">IF(J36="",0,COUNTIF(L$4:L35,"&gt;0")+MAX($Q$4:$Q$13)+1)</f>
        <v>0</v>
      </c>
      <c r="M36" s="84"/>
      <c r="N36" s="84"/>
      <c r="O36" s="84"/>
      <c r="P36" s="84"/>
      <c r="Q36" s="84"/>
      <c r="R36" s="83"/>
      <c r="S36" s="83" t="str">
        <f t="shared" ca="1" si="5"/>
        <v/>
      </c>
      <c r="T36" s="83" t="str">
        <f t="shared" ca="1" si="6"/>
        <v/>
      </c>
      <c r="U36" s="83" t="str">
        <f t="shared" ref="U36:U67" ca="1" si="15">IFERROR(INDEX($P$4:$P$13,MATCH($S36,$Q$4:$Q$13,0),1),IFERROR(INDEX($K$4:$K$103,MATCH($S36,$L$4:$L$103,0),1),""))</f>
        <v/>
      </c>
      <c r="V36" s="83"/>
      <c r="W36" s="83"/>
      <c r="X36" s="83" t="str">
        <f t="shared" ref="X36:X67" ca="1" si="16">IFERROR(LARGE($V$4:$V$113,Z36),"")</f>
        <v/>
      </c>
      <c r="Y36" s="83"/>
      <c r="Z36" s="101" t="str">
        <f t="shared" ca="1" si="7"/>
        <v/>
      </c>
      <c r="AA36" s="87" t="str">
        <f t="shared" ca="1" si="8"/>
        <v/>
      </c>
      <c r="AB36" s="95" t="str">
        <f t="shared" ca="1" si="9"/>
        <v/>
      </c>
      <c r="AC36" s="87"/>
      <c r="AD36" s="87"/>
      <c r="AE36" s="87"/>
      <c r="AF36" s="95" t="str">
        <f t="shared" ca="1" si="10"/>
        <v/>
      </c>
      <c r="AG36" s="91"/>
      <c r="AH36" s="87"/>
      <c r="AI36" s="87"/>
      <c r="AJ36" s="87"/>
      <c r="AK36" s="87"/>
      <c r="AL36" s="87"/>
      <c r="AM36" s="87"/>
      <c r="AN36" s="87"/>
      <c r="AO36" s="87"/>
      <c r="AP36" s="87"/>
      <c r="AQ36" s="87"/>
      <c r="AR36" s="87" t="str">
        <f t="shared" si="11"/>
        <v/>
      </c>
      <c r="AS36" s="91"/>
      <c r="AT36" s="91"/>
    </row>
    <row r="37" spans="1:46" x14ac:dyDescent="0.25">
      <c r="A37" s="88">
        <v>21</v>
      </c>
      <c r="B37" s="88" t="str">
        <f ca="1">IF(B6=0,"",B6)</f>
        <v/>
      </c>
      <c r="C37" s="83">
        <f ca="1">IF(B37="",0,COUNTIF($C$17:C36,"&gt;0")+1)</f>
        <v>0</v>
      </c>
      <c r="D37" s="84"/>
      <c r="E37" s="84"/>
      <c r="F37" s="84"/>
      <c r="G37" s="84"/>
      <c r="H37" s="84"/>
      <c r="I37" s="88" t="str">
        <f t="shared" ca="1" si="12"/>
        <v/>
      </c>
      <c r="J37" s="87" t="str">
        <f t="shared" ca="1" si="3"/>
        <v/>
      </c>
      <c r="K37" s="96"/>
      <c r="L37" s="83">
        <f ca="1">IF(J37="",0,COUNTIF(L$4:L36,"&gt;0")+MAX($Q$4:$Q$13)+1)</f>
        <v>0</v>
      </c>
      <c r="M37" s="84"/>
      <c r="N37" s="84"/>
      <c r="O37" s="84"/>
      <c r="P37" s="84"/>
      <c r="Q37" s="84"/>
      <c r="R37" s="83"/>
      <c r="S37" s="83" t="str">
        <f t="shared" ref="S37:S68" ca="1" si="17">IFERROR(IF(S36+1&lt;=$C$2+MAX($Q$4:$Q$13),S36+1,""),"")</f>
        <v/>
      </c>
      <c r="T37" s="83" t="str">
        <f t="shared" ref="T37:T68" ca="1" si="18">IFERROR(INDEX($O$4:$O$13,MATCH(S37,$Q$4:$Q$13,0),1),IFERROR(INDEX($J$4:$J$103,MATCH(S37,$L$4:$L$103,0),1),""))</f>
        <v/>
      </c>
      <c r="U37" s="83" t="str">
        <f t="shared" ca="1" si="15"/>
        <v/>
      </c>
      <c r="V37" s="83"/>
      <c r="W37" s="83"/>
      <c r="X37" s="83" t="str">
        <f t="shared" ca="1" si="16"/>
        <v/>
      </c>
      <c r="Y37" s="83"/>
      <c r="Z37" s="101" t="str">
        <f t="shared" ref="Z37:Z68" ca="1" si="19">IFERROR(IF(Z36+1&lt;=$C$2+MAX($Q$4:$Q$13),Z36+1,""),"")</f>
        <v/>
      </c>
      <c r="AA37" s="87" t="str">
        <f t="shared" ca="1" si="8"/>
        <v/>
      </c>
      <c r="AB37" s="95" t="str">
        <f t="shared" ca="1" si="9"/>
        <v/>
      </c>
      <c r="AC37" s="87"/>
      <c r="AD37" s="87"/>
      <c r="AE37" s="87"/>
      <c r="AF37" s="95" t="str">
        <f t="shared" ca="1" si="10"/>
        <v/>
      </c>
      <c r="AG37" s="91"/>
      <c r="AH37" s="87"/>
      <c r="AI37" s="87"/>
      <c r="AJ37" s="87"/>
      <c r="AK37" s="87"/>
      <c r="AL37" s="87"/>
      <c r="AM37" s="87"/>
      <c r="AN37" s="87"/>
      <c r="AO37" s="87"/>
      <c r="AP37" s="87"/>
      <c r="AQ37" s="87"/>
      <c r="AR37" s="87" t="str">
        <f t="shared" si="11"/>
        <v/>
      </c>
      <c r="AS37" s="91"/>
      <c r="AT37" s="91"/>
    </row>
    <row r="38" spans="1:46" x14ac:dyDescent="0.25">
      <c r="A38" s="88">
        <v>22</v>
      </c>
      <c r="B38" s="88" t="str">
        <f ca="1">IF($A18&lt;=$C$6,B37,"")</f>
        <v/>
      </c>
      <c r="C38" s="83">
        <f ca="1">IF(B38="",0,COUNTIF($C$17:C37,"&gt;0")+1)</f>
        <v>0</v>
      </c>
      <c r="D38" s="84"/>
      <c r="E38" s="84"/>
      <c r="F38" s="84"/>
      <c r="G38" s="84"/>
      <c r="H38" s="84"/>
      <c r="I38" s="88" t="str">
        <f t="shared" ca="1" si="12"/>
        <v/>
      </c>
      <c r="J38" s="87" t="str">
        <f t="shared" ca="1" si="3"/>
        <v/>
      </c>
      <c r="K38" s="96"/>
      <c r="L38" s="83">
        <f ca="1">IF(J38="",0,COUNTIF(L$4:L37,"&gt;0")+MAX($Q$4:$Q$13)+1)</f>
        <v>0</v>
      </c>
      <c r="M38" s="84"/>
      <c r="N38" s="84"/>
      <c r="O38" s="84"/>
      <c r="P38" s="84"/>
      <c r="Q38" s="84"/>
      <c r="R38" s="83"/>
      <c r="S38" s="83" t="str">
        <f t="shared" ca="1" si="17"/>
        <v/>
      </c>
      <c r="T38" s="83" t="str">
        <f t="shared" ca="1" si="18"/>
        <v/>
      </c>
      <c r="U38" s="83" t="str">
        <f t="shared" ca="1" si="15"/>
        <v/>
      </c>
      <c r="V38" s="83"/>
      <c r="W38" s="83"/>
      <c r="X38" s="83" t="str">
        <f t="shared" ca="1" si="16"/>
        <v/>
      </c>
      <c r="Y38" s="83"/>
      <c r="Z38" s="101" t="str">
        <f t="shared" ca="1" si="19"/>
        <v/>
      </c>
      <c r="AA38" s="87" t="str">
        <f t="shared" ca="1" si="8"/>
        <v/>
      </c>
      <c r="AB38" s="95" t="str">
        <f t="shared" ca="1" si="9"/>
        <v/>
      </c>
      <c r="AC38" s="87"/>
      <c r="AD38" s="87"/>
      <c r="AE38" s="87"/>
      <c r="AF38" s="95" t="str">
        <f t="shared" ca="1" si="10"/>
        <v/>
      </c>
      <c r="AG38" s="91"/>
      <c r="AH38" s="87"/>
      <c r="AI38" s="87"/>
      <c r="AJ38" s="87"/>
      <c r="AK38" s="87"/>
      <c r="AL38" s="87"/>
      <c r="AM38" s="87"/>
      <c r="AN38" s="87"/>
      <c r="AO38" s="87"/>
      <c r="AP38" s="87"/>
      <c r="AQ38" s="87"/>
      <c r="AR38" s="87" t="str">
        <f t="shared" si="11"/>
        <v/>
      </c>
      <c r="AS38" s="91"/>
      <c r="AT38" s="91"/>
    </row>
    <row r="39" spans="1:46" x14ac:dyDescent="0.25">
      <c r="A39" s="88">
        <v>23</v>
      </c>
      <c r="B39" s="88" t="str">
        <f ca="1">IF($A19&lt;=$C$6,B38,"")</f>
        <v/>
      </c>
      <c r="C39" s="83">
        <f ca="1">IF(B39="",0,COUNTIF($C$17:C38,"&gt;0")+1)</f>
        <v>0</v>
      </c>
      <c r="D39" s="84"/>
      <c r="E39" s="84"/>
      <c r="F39" s="84"/>
      <c r="G39" s="84"/>
      <c r="H39" s="84"/>
      <c r="I39" s="88" t="str">
        <f t="shared" ca="1" si="12"/>
        <v/>
      </c>
      <c r="J39" s="87" t="str">
        <f t="shared" ca="1" si="3"/>
        <v/>
      </c>
      <c r="K39" s="96"/>
      <c r="L39" s="83">
        <f ca="1">IF(J39="",0,COUNTIF(L$4:L38,"&gt;0")+MAX($Q$4:$Q$13)+1)</f>
        <v>0</v>
      </c>
      <c r="M39" s="84"/>
      <c r="N39" s="84"/>
      <c r="O39" s="84"/>
      <c r="P39" s="84"/>
      <c r="Q39" s="84"/>
      <c r="R39" s="83"/>
      <c r="S39" s="83" t="str">
        <f t="shared" ca="1" si="17"/>
        <v/>
      </c>
      <c r="T39" s="83" t="str">
        <f t="shared" ca="1" si="18"/>
        <v/>
      </c>
      <c r="U39" s="83" t="str">
        <f t="shared" ca="1" si="15"/>
        <v/>
      </c>
      <c r="V39" s="83"/>
      <c r="W39" s="83"/>
      <c r="X39" s="83" t="str">
        <f t="shared" ca="1" si="16"/>
        <v/>
      </c>
      <c r="Y39" s="83"/>
      <c r="Z39" s="101" t="str">
        <f t="shared" ca="1" si="19"/>
        <v/>
      </c>
      <c r="AA39" s="87" t="str">
        <f t="shared" ca="1" si="8"/>
        <v/>
      </c>
      <c r="AB39" s="95" t="str">
        <f t="shared" ca="1" si="9"/>
        <v/>
      </c>
      <c r="AC39" s="87"/>
      <c r="AD39" s="87"/>
      <c r="AE39" s="87"/>
      <c r="AF39" s="95" t="str">
        <f t="shared" ca="1" si="10"/>
        <v/>
      </c>
      <c r="AG39" s="91"/>
      <c r="AH39" s="87"/>
      <c r="AI39" s="87"/>
      <c r="AJ39" s="87"/>
      <c r="AK39" s="87"/>
      <c r="AL39" s="87"/>
      <c r="AM39" s="87"/>
      <c r="AN39" s="87"/>
      <c r="AO39" s="87"/>
      <c r="AP39" s="87"/>
      <c r="AQ39" s="87"/>
      <c r="AR39" s="87" t="str">
        <f t="shared" si="11"/>
        <v/>
      </c>
      <c r="AS39" s="91"/>
      <c r="AT39" s="91"/>
    </row>
    <row r="40" spans="1:46" x14ac:dyDescent="0.25">
      <c r="A40" s="88">
        <v>24</v>
      </c>
      <c r="B40" s="88" t="str">
        <f ca="1">IF($A20&lt;=$C$6,B39,"")</f>
        <v/>
      </c>
      <c r="C40" s="83">
        <f ca="1">IF(B40="",0,COUNTIF($C$17:C39,"&gt;0")+1)</f>
        <v>0</v>
      </c>
      <c r="D40" s="84"/>
      <c r="E40" s="84"/>
      <c r="F40" s="84"/>
      <c r="G40" s="84"/>
      <c r="H40" s="84"/>
      <c r="I40" s="88" t="str">
        <f t="shared" ca="1" si="12"/>
        <v/>
      </c>
      <c r="J40" s="87" t="str">
        <f t="shared" ca="1" si="3"/>
        <v/>
      </c>
      <c r="K40" s="96"/>
      <c r="L40" s="83">
        <f ca="1">IF(J40="",0,COUNTIF(L$4:L39,"&gt;0")+MAX($Q$4:$Q$13)+1)</f>
        <v>0</v>
      </c>
      <c r="M40" s="84"/>
      <c r="N40" s="84"/>
      <c r="O40" s="84"/>
      <c r="P40" s="84"/>
      <c r="Q40" s="84"/>
      <c r="R40" s="83"/>
      <c r="S40" s="83" t="str">
        <f t="shared" ca="1" si="17"/>
        <v/>
      </c>
      <c r="T40" s="83" t="str">
        <f t="shared" ca="1" si="18"/>
        <v/>
      </c>
      <c r="U40" s="83" t="str">
        <f t="shared" ca="1" si="15"/>
        <v/>
      </c>
      <c r="V40" s="83"/>
      <c r="W40" s="83"/>
      <c r="X40" s="83" t="str">
        <f t="shared" ca="1" si="16"/>
        <v/>
      </c>
      <c r="Y40" s="83"/>
      <c r="Z40" s="101" t="str">
        <f t="shared" ca="1" si="19"/>
        <v/>
      </c>
      <c r="AA40" s="87" t="str">
        <f t="shared" ca="1" si="8"/>
        <v/>
      </c>
      <c r="AB40" s="95" t="str">
        <f t="shared" ca="1" si="9"/>
        <v/>
      </c>
      <c r="AC40" s="87"/>
      <c r="AD40" s="87"/>
      <c r="AE40" s="87"/>
      <c r="AF40" s="95" t="str">
        <f t="shared" ca="1" si="10"/>
        <v/>
      </c>
      <c r="AG40" s="91"/>
      <c r="AH40" s="87"/>
      <c r="AI40" s="87"/>
      <c r="AJ40" s="87"/>
      <c r="AK40" s="87"/>
      <c r="AL40" s="87"/>
      <c r="AM40" s="87"/>
      <c r="AN40" s="87"/>
      <c r="AO40" s="87"/>
      <c r="AP40" s="87"/>
      <c r="AQ40" s="87"/>
      <c r="AR40" s="87" t="str">
        <f t="shared" si="11"/>
        <v/>
      </c>
      <c r="AS40" s="91"/>
      <c r="AT40" s="91"/>
    </row>
    <row r="41" spans="1:46" x14ac:dyDescent="0.25">
      <c r="A41" s="88">
        <v>25</v>
      </c>
      <c r="B41" s="88" t="str">
        <f t="shared" ref="B41:B46" ca="1" si="20">IF($A21&lt;=$C$6,B40,"")</f>
        <v/>
      </c>
      <c r="C41" s="83">
        <f ca="1">IF(B41="",0,COUNTIF($C$17:C40,"&gt;0")+1)</f>
        <v>0</v>
      </c>
      <c r="D41" s="84"/>
      <c r="E41" s="84"/>
      <c r="F41" s="84"/>
      <c r="G41" s="84"/>
      <c r="H41" s="84"/>
      <c r="I41" s="88" t="str">
        <f t="shared" ca="1" si="12"/>
        <v/>
      </c>
      <c r="J41" s="87" t="str">
        <f t="shared" ca="1" si="3"/>
        <v/>
      </c>
      <c r="K41" s="96"/>
      <c r="L41" s="83">
        <f ca="1">IF(J41="",0,COUNTIF(L$4:L40,"&gt;0")+MAX($Q$4:$Q$13)+1)</f>
        <v>0</v>
      </c>
      <c r="M41" s="84"/>
      <c r="N41" s="84"/>
      <c r="O41" s="84"/>
      <c r="P41" s="84"/>
      <c r="Q41" s="84"/>
      <c r="R41" s="83"/>
      <c r="S41" s="83" t="str">
        <f t="shared" ca="1" si="17"/>
        <v/>
      </c>
      <c r="T41" s="83" t="str">
        <f t="shared" ca="1" si="18"/>
        <v/>
      </c>
      <c r="U41" s="83" t="str">
        <f t="shared" ca="1" si="15"/>
        <v/>
      </c>
      <c r="V41" s="83"/>
      <c r="W41" s="83"/>
      <c r="X41" s="83" t="str">
        <f t="shared" ca="1" si="16"/>
        <v/>
      </c>
      <c r="Y41" s="83"/>
      <c r="Z41" s="101" t="str">
        <f t="shared" ca="1" si="19"/>
        <v/>
      </c>
      <c r="AA41" s="87" t="str">
        <f t="shared" ca="1" si="8"/>
        <v/>
      </c>
      <c r="AB41" s="95" t="str">
        <f t="shared" ca="1" si="9"/>
        <v/>
      </c>
      <c r="AC41" s="87"/>
      <c r="AD41" s="87"/>
      <c r="AE41" s="87"/>
      <c r="AF41" s="95" t="str">
        <f t="shared" ca="1" si="10"/>
        <v/>
      </c>
      <c r="AG41" s="91"/>
      <c r="AH41" s="87"/>
      <c r="AI41" s="87"/>
      <c r="AJ41" s="87"/>
      <c r="AK41" s="87"/>
      <c r="AL41" s="87"/>
      <c r="AM41" s="87"/>
      <c r="AN41" s="87"/>
      <c r="AO41" s="87"/>
      <c r="AP41" s="87"/>
      <c r="AQ41" s="87"/>
      <c r="AR41" s="87" t="str">
        <f t="shared" si="11"/>
        <v/>
      </c>
      <c r="AS41" s="91"/>
      <c r="AT41" s="91"/>
    </row>
    <row r="42" spans="1:46" x14ac:dyDescent="0.25">
      <c r="A42" s="88">
        <v>26</v>
      </c>
      <c r="B42" s="88" t="str">
        <f t="shared" ca="1" si="20"/>
        <v/>
      </c>
      <c r="C42" s="83">
        <f ca="1">IF(B42="",0,COUNTIF($C$17:C41,"&gt;0")+1)</f>
        <v>0</v>
      </c>
      <c r="D42" s="84"/>
      <c r="E42" s="84"/>
      <c r="F42" s="84"/>
      <c r="G42" s="84"/>
      <c r="H42" s="84"/>
      <c r="I42" s="88" t="str">
        <f t="shared" ca="1" si="12"/>
        <v/>
      </c>
      <c r="J42" s="87" t="str">
        <f t="shared" ca="1" si="3"/>
        <v/>
      </c>
      <c r="K42" s="96"/>
      <c r="L42" s="83">
        <f ca="1">IF(J42="",0,COUNTIF(L$4:L41,"&gt;0")+MAX($Q$4:$Q$13)+1)</f>
        <v>0</v>
      </c>
      <c r="M42" s="84"/>
      <c r="N42" s="84"/>
      <c r="O42" s="84"/>
      <c r="P42" s="84"/>
      <c r="Q42" s="84"/>
      <c r="R42" s="83"/>
      <c r="S42" s="83" t="str">
        <f t="shared" ca="1" si="17"/>
        <v/>
      </c>
      <c r="T42" s="83" t="str">
        <f t="shared" ca="1" si="18"/>
        <v/>
      </c>
      <c r="U42" s="83" t="str">
        <f t="shared" ca="1" si="15"/>
        <v/>
      </c>
      <c r="V42" s="83"/>
      <c r="W42" s="83"/>
      <c r="X42" s="83" t="str">
        <f t="shared" ca="1" si="16"/>
        <v/>
      </c>
      <c r="Y42" s="83"/>
      <c r="Z42" s="101" t="str">
        <f t="shared" ca="1" si="19"/>
        <v/>
      </c>
      <c r="AA42" s="87" t="str">
        <f t="shared" ca="1" si="8"/>
        <v/>
      </c>
      <c r="AB42" s="95" t="str">
        <f t="shared" ca="1" si="9"/>
        <v/>
      </c>
      <c r="AC42" s="87"/>
      <c r="AD42" s="87"/>
      <c r="AE42" s="87"/>
      <c r="AF42" s="95" t="str">
        <f t="shared" ca="1" si="10"/>
        <v/>
      </c>
      <c r="AG42" s="91"/>
      <c r="AH42" s="87"/>
      <c r="AI42" s="87"/>
      <c r="AJ42" s="87"/>
      <c r="AK42" s="87"/>
      <c r="AL42" s="87"/>
      <c r="AM42" s="87"/>
      <c r="AN42" s="87"/>
      <c r="AO42" s="87"/>
      <c r="AP42" s="87"/>
      <c r="AQ42" s="87"/>
      <c r="AR42" s="87" t="str">
        <f t="shared" si="11"/>
        <v/>
      </c>
      <c r="AS42" s="91"/>
      <c r="AT42" s="91"/>
    </row>
    <row r="43" spans="1:46" x14ac:dyDescent="0.25">
      <c r="A43" s="88">
        <v>27</v>
      </c>
      <c r="B43" s="88" t="str">
        <f t="shared" ca="1" si="20"/>
        <v/>
      </c>
      <c r="C43" s="83">
        <f ca="1">IF(B43="",0,COUNTIF($C$17:C42,"&gt;0")+1)</f>
        <v>0</v>
      </c>
      <c r="D43" s="84"/>
      <c r="E43" s="84"/>
      <c r="F43" s="84"/>
      <c r="G43" s="84"/>
      <c r="H43" s="84"/>
      <c r="I43" s="88" t="str">
        <f t="shared" ca="1" si="12"/>
        <v/>
      </c>
      <c r="J43" s="87" t="str">
        <f t="shared" ca="1" si="3"/>
        <v/>
      </c>
      <c r="K43" s="96"/>
      <c r="L43" s="83">
        <f ca="1">IF(J43="",0,COUNTIF(L$4:L42,"&gt;0")+MAX($Q$4:$Q$13)+1)</f>
        <v>0</v>
      </c>
      <c r="M43" s="84"/>
      <c r="N43" s="84"/>
      <c r="O43" s="84"/>
      <c r="P43" s="84"/>
      <c r="Q43" s="84"/>
      <c r="R43" s="83"/>
      <c r="S43" s="83" t="str">
        <f t="shared" ca="1" si="17"/>
        <v/>
      </c>
      <c r="T43" s="83" t="str">
        <f t="shared" ca="1" si="18"/>
        <v/>
      </c>
      <c r="U43" s="83" t="str">
        <f t="shared" ca="1" si="15"/>
        <v/>
      </c>
      <c r="V43" s="83"/>
      <c r="W43" s="83"/>
      <c r="X43" s="83" t="str">
        <f t="shared" ca="1" si="16"/>
        <v/>
      </c>
      <c r="Y43" s="83"/>
      <c r="Z43" s="101" t="str">
        <f t="shared" ca="1" si="19"/>
        <v/>
      </c>
      <c r="AA43" s="87" t="str">
        <f t="shared" ca="1" si="8"/>
        <v/>
      </c>
      <c r="AB43" s="95" t="str">
        <f t="shared" ca="1" si="9"/>
        <v/>
      </c>
      <c r="AC43" s="87"/>
      <c r="AD43" s="87"/>
      <c r="AE43" s="87"/>
      <c r="AF43" s="95" t="str">
        <f t="shared" ca="1" si="10"/>
        <v/>
      </c>
      <c r="AG43" s="91"/>
      <c r="AH43" s="87"/>
      <c r="AI43" s="87"/>
      <c r="AJ43" s="87"/>
      <c r="AK43" s="87"/>
      <c r="AL43" s="87"/>
      <c r="AM43" s="87"/>
      <c r="AN43" s="87"/>
      <c r="AO43" s="87"/>
      <c r="AP43" s="87"/>
      <c r="AQ43" s="87"/>
      <c r="AR43" s="87" t="str">
        <f t="shared" si="11"/>
        <v/>
      </c>
      <c r="AS43" s="91"/>
      <c r="AT43" s="91"/>
    </row>
    <row r="44" spans="1:46" x14ac:dyDescent="0.25">
      <c r="A44" s="88">
        <v>28</v>
      </c>
      <c r="B44" s="88" t="str">
        <f t="shared" ca="1" si="20"/>
        <v/>
      </c>
      <c r="C44" s="83">
        <f ca="1">IF(B44="",0,COUNTIF($C$17:C43,"&gt;0")+1)</f>
        <v>0</v>
      </c>
      <c r="D44" s="84"/>
      <c r="E44" s="84"/>
      <c r="F44" s="84"/>
      <c r="G44" s="84"/>
      <c r="H44" s="84"/>
      <c r="I44" s="88" t="str">
        <f t="shared" ca="1" si="12"/>
        <v/>
      </c>
      <c r="J44" s="87" t="str">
        <f t="shared" ca="1" si="3"/>
        <v/>
      </c>
      <c r="K44" s="96"/>
      <c r="L44" s="83">
        <f ca="1">IF(J44="",0,COUNTIF(L$4:L43,"&gt;0")+MAX($Q$4:$Q$13)+1)</f>
        <v>0</v>
      </c>
      <c r="M44" s="84"/>
      <c r="N44" s="84"/>
      <c r="O44" s="84"/>
      <c r="P44" s="84"/>
      <c r="Q44" s="84"/>
      <c r="R44" s="83"/>
      <c r="S44" s="83" t="str">
        <f t="shared" ca="1" si="17"/>
        <v/>
      </c>
      <c r="T44" s="83" t="str">
        <f t="shared" ca="1" si="18"/>
        <v/>
      </c>
      <c r="U44" s="83" t="str">
        <f t="shared" ca="1" si="15"/>
        <v/>
      </c>
      <c r="V44" s="83"/>
      <c r="W44" s="83"/>
      <c r="X44" s="83" t="str">
        <f t="shared" ca="1" si="16"/>
        <v/>
      </c>
      <c r="Y44" s="83"/>
      <c r="Z44" s="101" t="str">
        <f t="shared" ca="1" si="19"/>
        <v/>
      </c>
      <c r="AA44" s="87" t="str">
        <f t="shared" ca="1" si="8"/>
        <v/>
      </c>
      <c r="AB44" s="95" t="str">
        <f t="shared" ca="1" si="9"/>
        <v/>
      </c>
      <c r="AC44" s="87"/>
      <c r="AD44" s="87"/>
      <c r="AE44" s="87"/>
      <c r="AF44" s="95" t="str">
        <f t="shared" ca="1" si="10"/>
        <v/>
      </c>
      <c r="AG44" s="91"/>
      <c r="AH44" s="87"/>
      <c r="AI44" s="87"/>
      <c r="AJ44" s="87"/>
      <c r="AK44" s="87"/>
      <c r="AL44" s="87"/>
      <c r="AM44" s="87"/>
      <c r="AN44" s="87"/>
      <c r="AO44" s="87"/>
      <c r="AP44" s="87"/>
      <c r="AQ44" s="87"/>
      <c r="AR44" s="87" t="str">
        <f t="shared" si="11"/>
        <v/>
      </c>
      <c r="AS44" s="91"/>
      <c r="AT44" s="91"/>
    </row>
    <row r="45" spans="1:46" x14ac:dyDescent="0.25">
      <c r="A45" s="88">
        <v>29</v>
      </c>
      <c r="B45" s="88" t="str">
        <f t="shared" ca="1" si="20"/>
        <v/>
      </c>
      <c r="C45" s="83">
        <f ca="1">IF(B45="",0,COUNTIF($C$17:C44,"&gt;0")+1)</f>
        <v>0</v>
      </c>
      <c r="D45" s="84"/>
      <c r="E45" s="84"/>
      <c r="F45" s="84"/>
      <c r="G45" s="84"/>
      <c r="H45" s="84"/>
      <c r="I45" s="88" t="str">
        <f t="shared" ca="1" si="12"/>
        <v/>
      </c>
      <c r="J45" s="87" t="str">
        <f t="shared" ca="1" si="3"/>
        <v/>
      </c>
      <c r="K45" s="96"/>
      <c r="L45" s="83">
        <f ca="1">IF(J45="",0,COUNTIF(L$4:L44,"&gt;0")+MAX($Q$4:$Q$13)+1)</f>
        <v>0</v>
      </c>
      <c r="M45" s="84"/>
      <c r="N45" s="84"/>
      <c r="O45" s="84"/>
      <c r="P45" s="84"/>
      <c r="Q45" s="84"/>
      <c r="R45" s="83"/>
      <c r="S45" s="83" t="str">
        <f t="shared" ca="1" si="17"/>
        <v/>
      </c>
      <c r="T45" s="83" t="str">
        <f t="shared" ca="1" si="18"/>
        <v/>
      </c>
      <c r="U45" s="83" t="str">
        <f t="shared" ca="1" si="15"/>
        <v/>
      </c>
      <c r="V45" s="83"/>
      <c r="W45" s="83"/>
      <c r="X45" s="83" t="str">
        <f t="shared" ca="1" si="16"/>
        <v/>
      </c>
      <c r="Y45" s="83"/>
      <c r="Z45" s="101" t="str">
        <f t="shared" ca="1" si="19"/>
        <v/>
      </c>
      <c r="AA45" s="87" t="str">
        <f t="shared" ca="1" si="8"/>
        <v/>
      </c>
      <c r="AB45" s="95" t="str">
        <f t="shared" ca="1" si="9"/>
        <v/>
      </c>
      <c r="AC45" s="87"/>
      <c r="AD45" s="87"/>
      <c r="AE45" s="87"/>
      <c r="AF45" s="95" t="str">
        <f t="shared" ca="1" si="10"/>
        <v/>
      </c>
      <c r="AG45" s="91"/>
      <c r="AH45" s="87"/>
      <c r="AI45" s="87"/>
      <c r="AJ45" s="87"/>
      <c r="AK45" s="87"/>
      <c r="AL45" s="87"/>
      <c r="AM45" s="87"/>
      <c r="AN45" s="87"/>
      <c r="AO45" s="87"/>
      <c r="AP45" s="87"/>
      <c r="AQ45" s="87"/>
      <c r="AR45" s="87" t="str">
        <f t="shared" si="11"/>
        <v/>
      </c>
      <c r="AS45" s="91"/>
      <c r="AT45" s="91"/>
    </row>
    <row r="46" spans="1:46" x14ac:dyDescent="0.25">
      <c r="A46" s="88">
        <v>30</v>
      </c>
      <c r="B46" s="88" t="str">
        <f t="shared" ca="1" si="20"/>
        <v/>
      </c>
      <c r="C46" s="83">
        <f ca="1">IF(B46="",0,COUNTIF($C$17:C45,"&gt;0")+1)</f>
        <v>0</v>
      </c>
      <c r="D46" s="84"/>
      <c r="E46" s="84"/>
      <c r="F46" s="84"/>
      <c r="G46" s="84"/>
      <c r="H46" s="84"/>
      <c r="I46" s="88" t="str">
        <f t="shared" ca="1" si="12"/>
        <v/>
      </c>
      <c r="J46" s="87" t="str">
        <f t="shared" ca="1" si="3"/>
        <v/>
      </c>
      <c r="K46" s="96"/>
      <c r="L46" s="83">
        <f ca="1">IF(J46="",0,COUNTIF(L$4:L45,"&gt;0")+MAX($Q$4:$Q$13)+1)</f>
        <v>0</v>
      </c>
      <c r="M46" s="84"/>
      <c r="N46" s="84"/>
      <c r="O46" s="84"/>
      <c r="P46" s="84"/>
      <c r="Q46" s="84"/>
      <c r="R46" s="83"/>
      <c r="S46" s="83" t="str">
        <f t="shared" ca="1" si="17"/>
        <v/>
      </c>
      <c r="T46" s="83" t="str">
        <f t="shared" ca="1" si="18"/>
        <v/>
      </c>
      <c r="U46" s="83" t="str">
        <f t="shared" ca="1" si="15"/>
        <v/>
      </c>
      <c r="V46" s="83"/>
      <c r="W46" s="83"/>
      <c r="X46" s="83" t="str">
        <f t="shared" ca="1" si="16"/>
        <v/>
      </c>
      <c r="Y46" s="83"/>
      <c r="Z46" s="101" t="str">
        <f t="shared" ca="1" si="19"/>
        <v/>
      </c>
      <c r="AA46" s="87" t="str">
        <f t="shared" ca="1" si="8"/>
        <v/>
      </c>
      <c r="AB46" s="95" t="str">
        <f t="shared" ca="1" si="9"/>
        <v/>
      </c>
      <c r="AC46" s="87"/>
      <c r="AD46" s="87"/>
      <c r="AE46" s="87"/>
      <c r="AF46" s="95" t="str">
        <f t="shared" ca="1" si="10"/>
        <v/>
      </c>
      <c r="AG46" s="91"/>
      <c r="AH46" s="87"/>
      <c r="AI46" s="87"/>
      <c r="AJ46" s="87"/>
      <c r="AK46" s="87"/>
      <c r="AL46" s="87"/>
      <c r="AM46" s="87"/>
      <c r="AN46" s="87"/>
      <c r="AO46" s="87"/>
      <c r="AP46" s="87"/>
      <c r="AQ46" s="87"/>
      <c r="AR46" s="87" t="str">
        <f t="shared" si="11"/>
        <v/>
      </c>
      <c r="AS46" s="91"/>
      <c r="AT46" s="91"/>
    </row>
    <row r="47" spans="1:46" x14ac:dyDescent="0.25">
      <c r="A47" s="90">
        <v>31</v>
      </c>
      <c r="B47" s="90" t="str">
        <f ca="1">IF(B7=0,"",B7)</f>
        <v/>
      </c>
      <c r="C47" s="83">
        <f ca="1">IF(B47="",0,COUNTIF($C$17:C46,"&gt;0")+1)</f>
        <v>0</v>
      </c>
      <c r="D47" s="84"/>
      <c r="E47" s="84"/>
      <c r="F47" s="84"/>
      <c r="G47" s="84"/>
      <c r="H47" s="84"/>
      <c r="I47" s="88" t="str">
        <f t="shared" ca="1" si="12"/>
        <v/>
      </c>
      <c r="J47" s="87" t="str">
        <f t="shared" ca="1" si="3"/>
        <v/>
      </c>
      <c r="K47" s="96"/>
      <c r="L47" s="83">
        <f ca="1">IF(J47="",0,COUNTIF(L$4:L46,"&gt;0")+MAX($Q$4:$Q$13)+1)</f>
        <v>0</v>
      </c>
      <c r="M47" s="84"/>
      <c r="N47" s="84"/>
      <c r="O47" s="84"/>
      <c r="P47" s="84"/>
      <c r="Q47" s="84"/>
      <c r="R47" s="83"/>
      <c r="S47" s="83" t="str">
        <f t="shared" ca="1" si="17"/>
        <v/>
      </c>
      <c r="T47" s="83" t="str">
        <f t="shared" ca="1" si="18"/>
        <v/>
      </c>
      <c r="U47" s="83" t="str">
        <f t="shared" ca="1" si="15"/>
        <v/>
      </c>
      <c r="V47" s="83"/>
      <c r="W47" s="83"/>
      <c r="X47" s="83" t="str">
        <f t="shared" ca="1" si="16"/>
        <v/>
      </c>
      <c r="Y47" s="83"/>
      <c r="Z47" s="101" t="str">
        <f t="shared" ca="1" si="19"/>
        <v/>
      </c>
      <c r="AA47" s="87" t="str">
        <f t="shared" ca="1" si="8"/>
        <v/>
      </c>
      <c r="AB47" s="95" t="str">
        <f t="shared" ca="1" si="9"/>
        <v/>
      </c>
      <c r="AC47" s="87"/>
      <c r="AD47" s="87"/>
      <c r="AE47" s="87"/>
      <c r="AF47" s="95" t="str">
        <f t="shared" ca="1" si="10"/>
        <v/>
      </c>
      <c r="AG47" s="91"/>
      <c r="AH47" s="87"/>
      <c r="AI47" s="87"/>
      <c r="AJ47" s="87"/>
      <c r="AK47" s="87"/>
      <c r="AL47" s="87"/>
      <c r="AM47" s="87"/>
      <c r="AN47" s="87"/>
      <c r="AO47" s="87"/>
      <c r="AP47" s="87"/>
      <c r="AQ47" s="87"/>
      <c r="AR47" s="87" t="str">
        <f t="shared" si="11"/>
        <v/>
      </c>
      <c r="AS47" s="91"/>
      <c r="AT47" s="91"/>
    </row>
    <row r="48" spans="1:46" x14ac:dyDescent="0.25">
      <c r="A48" s="90">
        <v>32</v>
      </c>
      <c r="B48" s="90" t="str">
        <f ca="1">IF($A18&lt;=$C$7,B47,"")</f>
        <v/>
      </c>
      <c r="C48" s="83">
        <f ca="1">IF(B48="",0,COUNTIF($C$17:C47,"&gt;0")+1)</f>
        <v>0</v>
      </c>
      <c r="D48" s="84"/>
      <c r="E48" s="84"/>
      <c r="F48" s="84"/>
      <c r="G48" s="84"/>
      <c r="H48" s="84"/>
      <c r="I48" s="88" t="str">
        <f t="shared" ca="1" si="12"/>
        <v/>
      </c>
      <c r="J48" s="87" t="str">
        <f t="shared" ca="1" si="3"/>
        <v/>
      </c>
      <c r="K48" s="96"/>
      <c r="L48" s="83">
        <f ca="1">IF(J48="",0,COUNTIF(L$4:L47,"&gt;0")+MAX($Q$4:$Q$13)+1)</f>
        <v>0</v>
      </c>
      <c r="M48" s="84"/>
      <c r="N48" s="84"/>
      <c r="O48" s="84"/>
      <c r="P48" s="84"/>
      <c r="Q48" s="84"/>
      <c r="R48" s="83"/>
      <c r="S48" s="83" t="str">
        <f t="shared" ca="1" si="17"/>
        <v/>
      </c>
      <c r="T48" s="83" t="str">
        <f t="shared" ca="1" si="18"/>
        <v/>
      </c>
      <c r="U48" s="83" t="str">
        <f t="shared" ca="1" si="15"/>
        <v/>
      </c>
      <c r="V48" s="83"/>
      <c r="W48" s="83"/>
      <c r="X48" s="83" t="str">
        <f t="shared" ca="1" si="16"/>
        <v/>
      </c>
      <c r="Y48" s="83"/>
      <c r="Z48" s="101" t="str">
        <f t="shared" ca="1" si="19"/>
        <v/>
      </c>
      <c r="AA48" s="87" t="str">
        <f t="shared" ca="1" si="8"/>
        <v/>
      </c>
      <c r="AB48" s="95" t="str">
        <f t="shared" ca="1" si="9"/>
        <v/>
      </c>
      <c r="AC48" s="87"/>
      <c r="AD48" s="87"/>
      <c r="AE48" s="87"/>
      <c r="AF48" s="95" t="str">
        <f t="shared" ca="1" si="10"/>
        <v/>
      </c>
      <c r="AG48" s="91"/>
      <c r="AH48" s="87"/>
      <c r="AI48" s="87"/>
      <c r="AJ48" s="87"/>
      <c r="AK48" s="87"/>
      <c r="AL48" s="87"/>
      <c r="AM48" s="87"/>
      <c r="AN48" s="87"/>
      <c r="AO48" s="87"/>
      <c r="AP48" s="87"/>
      <c r="AQ48" s="87"/>
      <c r="AR48" s="87" t="str">
        <f t="shared" si="11"/>
        <v/>
      </c>
      <c r="AS48" s="91"/>
      <c r="AT48" s="91"/>
    </row>
    <row r="49" spans="1:46" x14ac:dyDescent="0.25">
      <c r="A49" s="90">
        <v>33</v>
      </c>
      <c r="B49" s="90" t="str">
        <f t="shared" ref="B49:B56" ca="1" si="21">IF($A19&lt;=$C$7,B48,"")</f>
        <v/>
      </c>
      <c r="C49" s="83">
        <f ca="1">IF(B49="",0,COUNTIF($C$17:C48,"&gt;0")+1)</f>
        <v>0</v>
      </c>
      <c r="D49" s="84"/>
      <c r="E49" s="84"/>
      <c r="F49" s="84"/>
      <c r="G49" s="84"/>
      <c r="H49" s="84"/>
      <c r="I49" s="88" t="str">
        <f t="shared" ca="1" si="12"/>
        <v/>
      </c>
      <c r="J49" s="87" t="str">
        <f t="shared" ca="1" si="3"/>
        <v/>
      </c>
      <c r="K49" s="96"/>
      <c r="L49" s="83">
        <f ca="1">IF(J49="",0,COUNTIF(L$4:L48,"&gt;0")+MAX($Q$4:$Q$13)+1)</f>
        <v>0</v>
      </c>
      <c r="M49" s="84"/>
      <c r="N49" s="84"/>
      <c r="O49" s="84"/>
      <c r="P49" s="84"/>
      <c r="Q49" s="84"/>
      <c r="R49" s="83"/>
      <c r="S49" s="83" t="str">
        <f t="shared" ca="1" si="17"/>
        <v/>
      </c>
      <c r="T49" s="83" t="str">
        <f t="shared" ca="1" si="18"/>
        <v/>
      </c>
      <c r="U49" s="83" t="str">
        <f t="shared" ca="1" si="15"/>
        <v/>
      </c>
      <c r="V49" s="83"/>
      <c r="W49" s="83"/>
      <c r="X49" s="83" t="str">
        <f t="shared" ca="1" si="16"/>
        <v/>
      </c>
      <c r="Y49" s="83"/>
      <c r="Z49" s="101" t="str">
        <f t="shared" ca="1" si="19"/>
        <v/>
      </c>
      <c r="AA49" s="87" t="str">
        <f t="shared" ca="1" si="8"/>
        <v/>
      </c>
      <c r="AB49" s="95" t="str">
        <f t="shared" ca="1" si="9"/>
        <v/>
      </c>
      <c r="AC49" s="87"/>
      <c r="AD49" s="87"/>
      <c r="AE49" s="87"/>
      <c r="AF49" s="95" t="str">
        <f t="shared" ca="1" si="10"/>
        <v/>
      </c>
      <c r="AG49" s="91"/>
      <c r="AH49" s="87"/>
      <c r="AI49" s="87"/>
      <c r="AJ49" s="87"/>
      <c r="AK49" s="87"/>
      <c r="AL49" s="87"/>
      <c r="AM49" s="87"/>
      <c r="AN49" s="87"/>
      <c r="AO49" s="87"/>
      <c r="AP49" s="87"/>
      <c r="AQ49" s="87"/>
      <c r="AR49" s="87" t="str">
        <f t="shared" si="11"/>
        <v/>
      </c>
      <c r="AS49" s="91"/>
      <c r="AT49" s="91"/>
    </row>
    <row r="50" spans="1:46" x14ac:dyDescent="0.25">
      <c r="A50" s="90">
        <v>34</v>
      </c>
      <c r="B50" s="90" t="str">
        <f t="shared" ca="1" si="21"/>
        <v/>
      </c>
      <c r="C50" s="83">
        <f ca="1">IF(B50="",0,COUNTIF($C$17:C49,"&gt;0")+1)</f>
        <v>0</v>
      </c>
      <c r="D50" s="84"/>
      <c r="E50" s="84"/>
      <c r="F50" s="84"/>
      <c r="G50" s="84"/>
      <c r="H50" s="84"/>
      <c r="I50" s="88" t="str">
        <f t="shared" ca="1" si="12"/>
        <v/>
      </c>
      <c r="J50" s="87" t="str">
        <f t="shared" ca="1" si="3"/>
        <v/>
      </c>
      <c r="K50" s="96"/>
      <c r="L50" s="83">
        <f ca="1">IF(J50="",0,COUNTIF(L$4:L49,"&gt;0")+MAX($Q$4:$Q$13)+1)</f>
        <v>0</v>
      </c>
      <c r="M50" s="84"/>
      <c r="N50" s="84"/>
      <c r="O50" s="84"/>
      <c r="P50" s="84"/>
      <c r="Q50" s="84"/>
      <c r="R50" s="83"/>
      <c r="S50" s="83" t="str">
        <f t="shared" ca="1" si="17"/>
        <v/>
      </c>
      <c r="T50" s="83" t="str">
        <f t="shared" ca="1" si="18"/>
        <v/>
      </c>
      <c r="U50" s="83" t="str">
        <f t="shared" ca="1" si="15"/>
        <v/>
      </c>
      <c r="V50" s="83"/>
      <c r="W50" s="83"/>
      <c r="X50" s="83" t="str">
        <f t="shared" ca="1" si="16"/>
        <v/>
      </c>
      <c r="Y50" s="83"/>
      <c r="Z50" s="101" t="str">
        <f t="shared" ca="1" si="19"/>
        <v/>
      </c>
      <c r="AA50" s="87" t="str">
        <f t="shared" ca="1" si="8"/>
        <v/>
      </c>
      <c r="AB50" s="95" t="str">
        <f t="shared" ca="1" si="9"/>
        <v/>
      </c>
      <c r="AC50" s="87"/>
      <c r="AD50" s="87"/>
      <c r="AE50" s="87"/>
      <c r="AF50" s="95" t="str">
        <f t="shared" ca="1" si="10"/>
        <v/>
      </c>
      <c r="AG50" s="91"/>
      <c r="AH50" s="87"/>
      <c r="AI50" s="87"/>
      <c r="AJ50" s="87"/>
      <c r="AK50" s="87"/>
      <c r="AL50" s="87"/>
      <c r="AM50" s="87"/>
      <c r="AN50" s="87"/>
      <c r="AO50" s="87"/>
      <c r="AP50" s="87"/>
      <c r="AQ50" s="87"/>
      <c r="AR50" s="87" t="str">
        <f t="shared" si="11"/>
        <v/>
      </c>
      <c r="AS50" s="91"/>
      <c r="AT50" s="91"/>
    </row>
    <row r="51" spans="1:46" x14ac:dyDescent="0.25">
      <c r="A51" s="90">
        <v>35</v>
      </c>
      <c r="B51" s="90" t="str">
        <f t="shared" ca="1" si="21"/>
        <v/>
      </c>
      <c r="C51" s="83">
        <f ca="1">IF(B51="",0,COUNTIF($C$17:C50,"&gt;0")+1)</f>
        <v>0</v>
      </c>
      <c r="D51" s="84"/>
      <c r="E51" s="84"/>
      <c r="F51" s="84"/>
      <c r="G51" s="84"/>
      <c r="H51" s="84"/>
      <c r="I51" s="88" t="str">
        <f t="shared" ca="1" si="12"/>
        <v/>
      </c>
      <c r="J51" s="87" t="str">
        <f t="shared" ca="1" si="3"/>
        <v/>
      </c>
      <c r="K51" s="96"/>
      <c r="L51" s="83">
        <f ca="1">IF(J51="",0,COUNTIF(L$4:L50,"&gt;0")+MAX($Q$4:$Q$13)+1)</f>
        <v>0</v>
      </c>
      <c r="M51" s="84"/>
      <c r="N51" s="84"/>
      <c r="O51" s="84"/>
      <c r="P51" s="84"/>
      <c r="Q51" s="84"/>
      <c r="R51" s="83"/>
      <c r="S51" s="83" t="str">
        <f t="shared" ca="1" si="17"/>
        <v/>
      </c>
      <c r="T51" s="83" t="str">
        <f t="shared" ca="1" si="18"/>
        <v/>
      </c>
      <c r="U51" s="83" t="str">
        <f t="shared" ca="1" si="15"/>
        <v/>
      </c>
      <c r="V51" s="83"/>
      <c r="W51" s="83"/>
      <c r="X51" s="83" t="str">
        <f t="shared" ca="1" si="16"/>
        <v/>
      </c>
      <c r="Y51" s="83"/>
      <c r="Z51" s="101" t="str">
        <f t="shared" ca="1" si="19"/>
        <v/>
      </c>
      <c r="AA51" s="87" t="str">
        <f t="shared" ca="1" si="8"/>
        <v/>
      </c>
      <c r="AB51" s="95" t="str">
        <f t="shared" ca="1" si="9"/>
        <v/>
      </c>
      <c r="AC51" s="87"/>
      <c r="AD51" s="87"/>
      <c r="AE51" s="87"/>
      <c r="AF51" s="95" t="str">
        <f t="shared" ca="1" si="10"/>
        <v/>
      </c>
      <c r="AG51" s="91"/>
      <c r="AH51" s="87"/>
      <c r="AI51" s="87"/>
      <c r="AJ51" s="87"/>
      <c r="AK51" s="87"/>
      <c r="AL51" s="87"/>
      <c r="AM51" s="87"/>
      <c r="AN51" s="87"/>
      <c r="AO51" s="87"/>
      <c r="AP51" s="87"/>
      <c r="AQ51" s="87"/>
      <c r="AR51" s="87" t="str">
        <f t="shared" si="11"/>
        <v/>
      </c>
      <c r="AS51" s="91"/>
      <c r="AT51" s="91"/>
    </row>
    <row r="52" spans="1:46" x14ac:dyDescent="0.25">
      <c r="A52" s="90">
        <v>36</v>
      </c>
      <c r="B52" s="90" t="str">
        <f t="shared" ca="1" si="21"/>
        <v/>
      </c>
      <c r="C52" s="83">
        <f ca="1">IF(B52="",0,COUNTIF($C$17:C51,"&gt;0")+1)</f>
        <v>0</v>
      </c>
      <c r="D52" s="84"/>
      <c r="E52" s="84"/>
      <c r="F52" s="84"/>
      <c r="G52" s="84"/>
      <c r="H52" s="84"/>
      <c r="I52" s="88" t="str">
        <f t="shared" ca="1" si="12"/>
        <v/>
      </c>
      <c r="J52" s="87" t="str">
        <f t="shared" ca="1" si="3"/>
        <v/>
      </c>
      <c r="K52" s="96"/>
      <c r="L52" s="83">
        <f ca="1">IF(J52="",0,COUNTIF(L$4:L51,"&gt;0")+MAX($Q$4:$Q$13)+1)</f>
        <v>0</v>
      </c>
      <c r="M52" s="84"/>
      <c r="N52" s="84"/>
      <c r="O52" s="84"/>
      <c r="P52" s="84"/>
      <c r="Q52" s="84"/>
      <c r="R52" s="83"/>
      <c r="S52" s="83" t="str">
        <f t="shared" ca="1" si="17"/>
        <v/>
      </c>
      <c r="T52" s="83" t="str">
        <f t="shared" ca="1" si="18"/>
        <v/>
      </c>
      <c r="U52" s="83" t="str">
        <f t="shared" ca="1" si="15"/>
        <v/>
      </c>
      <c r="V52" s="83"/>
      <c r="W52" s="83"/>
      <c r="X52" s="83" t="str">
        <f t="shared" ca="1" si="16"/>
        <v/>
      </c>
      <c r="Y52" s="83"/>
      <c r="Z52" s="101" t="str">
        <f t="shared" ca="1" si="19"/>
        <v/>
      </c>
      <c r="AA52" s="87" t="str">
        <f t="shared" ca="1" si="8"/>
        <v/>
      </c>
      <c r="AB52" s="95" t="str">
        <f t="shared" ca="1" si="9"/>
        <v/>
      </c>
      <c r="AC52" s="87"/>
      <c r="AD52" s="87"/>
      <c r="AE52" s="87"/>
      <c r="AF52" s="95" t="str">
        <f t="shared" ca="1" si="10"/>
        <v/>
      </c>
      <c r="AG52" s="91"/>
      <c r="AH52" s="87"/>
      <c r="AI52" s="87"/>
      <c r="AJ52" s="87"/>
      <c r="AK52" s="87"/>
      <c r="AL52" s="87"/>
      <c r="AM52" s="87"/>
      <c r="AN52" s="87"/>
      <c r="AO52" s="87"/>
      <c r="AP52" s="87"/>
      <c r="AQ52" s="87"/>
      <c r="AR52" s="87" t="str">
        <f t="shared" si="11"/>
        <v/>
      </c>
      <c r="AS52" s="91"/>
      <c r="AT52" s="91"/>
    </row>
    <row r="53" spans="1:46" x14ac:dyDescent="0.25">
      <c r="A53" s="90">
        <v>37</v>
      </c>
      <c r="B53" s="90" t="str">
        <f t="shared" ca="1" si="21"/>
        <v/>
      </c>
      <c r="C53" s="83">
        <f ca="1">IF(B53="",0,COUNTIF($C$17:C52,"&gt;0")+1)</f>
        <v>0</v>
      </c>
      <c r="D53" s="84"/>
      <c r="E53" s="84"/>
      <c r="F53" s="84"/>
      <c r="G53" s="84"/>
      <c r="H53" s="84"/>
      <c r="I53" s="88" t="str">
        <f t="shared" ca="1" si="12"/>
        <v/>
      </c>
      <c r="J53" s="87" t="str">
        <f t="shared" ca="1" si="3"/>
        <v/>
      </c>
      <c r="K53" s="96"/>
      <c r="L53" s="83">
        <f ca="1">IF(J53="",0,COUNTIF(L$4:L52,"&gt;0")+MAX($Q$4:$Q$13)+1)</f>
        <v>0</v>
      </c>
      <c r="M53" s="84"/>
      <c r="N53" s="84"/>
      <c r="O53" s="84"/>
      <c r="P53" s="84"/>
      <c r="Q53" s="84"/>
      <c r="R53" s="83"/>
      <c r="S53" s="83" t="str">
        <f t="shared" ca="1" si="17"/>
        <v/>
      </c>
      <c r="T53" s="83" t="str">
        <f t="shared" ca="1" si="18"/>
        <v/>
      </c>
      <c r="U53" s="83" t="str">
        <f t="shared" ca="1" si="15"/>
        <v/>
      </c>
      <c r="V53" s="83"/>
      <c r="W53" s="83"/>
      <c r="X53" s="83" t="str">
        <f t="shared" ca="1" si="16"/>
        <v/>
      </c>
      <c r="Y53" s="83"/>
      <c r="Z53" s="101" t="str">
        <f t="shared" ca="1" si="19"/>
        <v/>
      </c>
      <c r="AA53" s="87" t="str">
        <f t="shared" ca="1" si="8"/>
        <v/>
      </c>
      <c r="AB53" s="95" t="str">
        <f t="shared" ca="1" si="9"/>
        <v/>
      </c>
      <c r="AC53" s="87"/>
      <c r="AD53" s="87"/>
      <c r="AE53" s="87"/>
      <c r="AF53" s="95" t="str">
        <f t="shared" ca="1" si="10"/>
        <v/>
      </c>
      <c r="AG53" s="91"/>
      <c r="AH53" s="87"/>
      <c r="AI53" s="87"/>
      <c r="AJ53" s="87"/>
      <c r="AK53" s="87"/>
      <c r="AL53" s="87"/>
      <c r="AM53" s="87"/>
      <c r="AN53" s="87"/>
      <c r="AO53" s="87"/>
      <c r="AP53" s="87"/>
      <c r="AQ53" s="87"/>
      <c r="AR53" s="87" t="str">
        <f t="shared" si="11"/>
        <v/>
      </c>
      <c r="AS53" s="91"/>
      <c r="AT53" s="91"/>
    </row>
    <row r="54" spans="1:46" x14ac:dyDescent="0.25">
      <c r="A54" s="90">
        <v>38</v>
      </c>
      <c r="B54" s="90" t="str">
        <f t="shared" ca="1" si="21"/>
        <v/>
      </c>
      <c r="C54" s="83">
        <f ca="1">IF(B54="",0,COUNTIF($C$17:C53,"&gt;0")+1)</f>
        <v>0</v>
      </c>
      <c r="D54" s="84"/>
      <c r="E54" s="84"/>
      <c r="F54" s="84"/>
      <c r="G54" s="84"/>
      <c r="H54" s="84"/>
      <c r="I54" s="88" t="str">
        <f t="shared" ca="1" si="12"/>
        <v/>
      </c>
      <c r="J54" s="87" t="str">
        <f t="shared" ca="1" si="3"/>
        <v/>
      </c>
      <c r="K54" s="96"/>
      <c r="L54" s="83">
        <f ca="1">IF(J54="",0,COUNTIF(L$4:L53,"&gt;0")+MAX($Q$4:$Q$13)+1)</f>
        <v>0</v>
      </c>
      <c r="M54" s="84"/>
      <c r="N54" s="84"/>
      <c r="O54" s="84"/>
      <c r="P54" s="84"/>
      <c r="Q54" s="84"/>
      <c r="R54" s="83"/>
      <c r="S54" s="83" t="str">
        <f t="shared" ca="1" si="17"/>
        <v/>
      </c>
      <c r="T54" s="83" t="str">
        <f t="shared" ca="1" si="18"/>
        <v/>
      </c>
      <c r="U54" s="83" t="str">
        <f t="shared" ca="1" si="15"/>
        <v/>
      </c>
      <c r="V54" s="83"/>
      <c r="W54" s="83"/>
      <c r="X54" s="83" t="str">
        <f t="shared" ca="1" si="16"/>
        <v/>
      </c>
      <c r="Y54" s="83"/>
      <c r="Z54" s="101" t="str">
        <f t="shared" ca="1" si="19"/>
        <v/>
      </c>
      <c r="AA54" s="87" t="str">
        <f t="shared" ca="1" si="8"/>
        <v/>
      </c>
      <c r="AB54" s="95" t="str">
        <f t="shared" ca="1" si="9"/>
        <v/>
      </c>
      <c r="AC54" s="87"/>
      <c r="AD54" s="87"/>
      <c r="AE54" s="87"/>
      <c r="AF54" s="95" t="str">
        <f t="shared" ca="1" si="10"/>
        <v/>
      </c>
      <c r="AG54" s="91"/>
      <c r="AH54" s="87"/>
      <c r="AI54" s="87"/>
      <c r="AJ54" s="87"/>
      <c r="AK54" s="87"/>
      <c r="AL54" s="87"/>
      <c r="AM54" s="87"/>
      <c r="AN54" s="87"/>
      <c r="AO54" s="87"/>
      <c r="AP54" s="87"/>
      <c r="AQ54" s="87"/>
      <c r="AR54" s="87" t="str">
        <f t="shared" si="11"/>
        <v/>
      </c>
      <c r="AS54" s="91"/>
      <c r="AT54" s="91"/>
    </row>
    <row r="55" spans="1:46" x14ac:dyDescent="0.25">
      <c r="A55" s="90">
        <v>39</v>
      </c>
      <c r="B55" s="90" t="str">
        <f t="shared" ca="1" si="21"/>
        <v/>
      </c>
      <c r="C55" s="83">
        <f ca="1">IF(B55="",0,COUNTIF($C$17:C54,"&gt;0")+1)</f>
        <v>0</v>
      </c>
      <c r="D55" s="84"/>
      <c r="E55" s="84"/>
      <c r="F55" s="84"/>
      <c r="G55" s="84"/>
      <c r="H55" s="84"/>
      <c r="I55" s="88" t="str">
        <f t="shared" ca="1" si="12"/>
        <v/>
      </c>
      <c r="J55" s="87" t="str">
        <f t="shared" ca="1" si="3"/>
        <v/>
      </c>
      <c r="K55" s="96"/>
      <c r="L55" s="83">
        <f ca="1">IF(J55="",0,COUNTIF(L$4:L54,"&gt;0")+MAX($Q$4:$Q$13)+1)</f>
        <v>0</v>
      </c>
      <c r="M55" s="84"/>
      <c r="N55" s="84"/>
      <c r="O55" s="84"/>
      <c r="P55" s="84"/>
      <c r="Q55" s="84"/>
      <c r="R55" s="83"/>
      <c r="S55" s="83" t="str">
        <f t="shared" ca="1" si="17"/>
        <v/>
      </c>
      <c r="T55" s="83" t="str">
        <f t="shared" ca="1" si="18"/>
        <v/>
      </c>
      <c r="U55" s="83" t="str">
        <f t="shared" ca="1" si="15"/>
        <v/>
      </c>
      <c r="V55" s="83"/>
      <c r="W55" s="83"/>
      <c r="X55" s="83" t="str">
        <f t="shared" ca="1" si="16"/>
        <v/>
      </c>
      <c r="Y55" s="83"/>
      <c r="Z55" s="101" t="str">
        <f t="shared" ca="1" si="19"/>
        <v/>
      </c>
      <c r="AA55" s="87" t="str">
        <f t="shared" ca="1" si="8"/>
        <v/>
      </c>
      <c r="AB55" s="95" t="str">
        <f t="shared" ca="1" si="9"/>
        <v/>
      </c>
      <c r="AC55" s="87"/>
      <c r="AD55" s="87"/>
      <c r="AE55" s="87"/>
      <c r="AF55" s="95" t="str">
        <f t="shared" ca="1" si="10"/>
        <v/>
      </c>
      <c r="AG55" s="91"/>
      <c r="AH55" s="87"/>
      <c r="AI55" s="87"/>
      <c r="AJ55" s="87"/>
      <c r="AK55" s="87"/>
      <c r="AL55" s="87"/>
      <c r="AM55" s="87"/>
      <c r="AN55" s="87"/>
      <c r="AO55" s="87"/>
      <c r="AP55" s="87"/>
      <c r="AQ55" s="87"/>
      <c r="AR55" s="87" t="str">
        <f t="shared" si="11"/>
        <v/>
      </c>
      <c r="AS55" s="91"/>
      <c r="AT55" s="91"/>
    </row>
    <row r="56" spans="1:46" x14ac:dyDescent="0.25">
      <c r="A56" s="90">
        <v>40</v>
      </c>
      <c r="B56" s="90" t="str">
        <f t="shared" ca="1" si="21"/>
        <v/>
      </c>
      <c r="C56" s="83">
        <f ca="1">IF(B56="",0,COUNTIF($C$17:C55,"&gt;0")+1)</f>
        <v>0</v>
      </c>
      <c r="D56" s="84"/>
      <c r="E56" s="84"/>
      <c r="F56" s="84"/>
      <c r="G56" s="84"/>
      <c r="H56" s="84"/>
      <c r="I56" s="88" t="str">
        <f t="shared" ca="1" si="12"/>
        <v/>
      </c>
      <c r="J56" s="87" t="str">
        <f t="shared" ca="1" si="3"/>
        <v/>
      </c>
      <c r="K56" s="96"/>
      <c r="L56" s="83">
        <f ca="1">IF(J56="",0,COUNTIF(L$4:L55,"&gt;0")+MAX($Q$4:$Q$13)+1)</f>
        <v>0</v>
      </c>
      <c r="M56" s="84"/>
      <c r="N56" s="84"/>
      <c r="O56" s="84"/>
      <c r="P56" s="84"/>
      <c r="Q56" s="84"/>
      <c r="R56" s="83"/>
      <c r="S56" s="83" t="str">
        <f t="shared" ca="1" si="17"/>
        <v/>
      </c>
      <c r="T56" s="83" t="str">
        <f t="shared" ca="1" si="18"/>
        <v/>
      </c>
      <c r="U56" s="83" t="str">
        <f t="shared" ca="1" si="15"/>
        <v/>
      </c>
      <c r="V56" s="83"/>
      <c r="W56" s="83"/>
      <c r="X56" s="83" t="str">
        <f t="shared" ca="1" si="16"/>
        <v/>
      </c>
      <c r="Y56" s="83"/>
      <c r="Z56" s="101" t="str">
        <f t="shared" ca="1" si="19"/>
        <v/>
      </c>
      <c r="AA56" s="87" t="str">
        <f t="shared" ca="1" si="8"/>
        <v/>
      </c>
      <c r="AB56" s="95" t="str">
        <f t="shared" ca="1" si="9"/>
        <v/>
      </c>
      <c r="AC56" s="87"/>
      <c r="AD56" s="87"/>
      <c r="AE56" s="87"/>
      <c r="AF56" s="95" t="str">
        <f t="shared" ca="1" si="10"/>
        <v/>
      </c>
      <c r="AG56" s="91"/>
      <c r="AH56" s="87"/>
      <c r="AI56" s="87"/>
      <c r="AJ56" s="87"/>
      <c r="AK56" s="87"/>
      <c r="AL56" s="87"/>
      <c r="AM56" s="87"/>
      <c r="AN56" s="87"/>
      <c r="AO56" s="87"/>
      <c r="AP56" s="87"/>
      <c r="AQ56" s="87"/>
      <c r="AR56" s="87" t="str">
        <f t="shared" si="11"/>
        <v/>
      </c>
      <c r="AS56" s="91"/>
      <c r="AT56" s="91"/>
    </row>
    <row r="57" spans="1:46" x14ac:dyDescent="0.25">
      <c r="A57" s="88">
        <v>41</v>
      </c>
      <c r="B57" s="88" t="str">
        <f ca="1">IF(B8=0,"",B8)</f>
        <v/>
      </c>
      <c r="C57" s="83">
        <f ca="1">IF(B57="",0,COUNTIF($C$17:C56,"&gt;0")+1)</f>
        <v>0</v>
      </c>
      <c r="D57" s="84"/>
      <c r="E57" s="84"/>
      <c r="F57" s="84"/>
      <c r="G57" s="84"/>
      <c r="H57" s="84"/>
      <c r="I57" s="88" t="str">
        <f t="shared" ca="1" si="12"/>
        <v/>
      </c>
      <c r="J57" s="87" t="str">
        <f t="shared" ca="1" si="3"/>
        <v/>
      </c>
      <c r="K57" s="96"/>
      <c r="L57" s="83">
        <f ca="1">IF(J57="",0,COUNTIF(L$4:L56,"&gt;0")+MAX($Q$4:$Q$13)+1)</f>
        <v>0</v>
      </c>
      <c r="M57" s="84"/>
      <c r="N57" s="84"/>
      <c r="O57" s="84"/>
      <c r="P57" s="84"/>
      <c r="Q57" s="84"/>
      <c r="R57" s="83"/>
      <c r="S57" s="83" t="str">
        <f t="shared" ca="1" si="17"/>
        <v/>
      </c>
      <c r="T57" s="83" t="str">
        <f t="shared" ca="1" si="18"/>
        <v/>
      </c>
      <c r="U57" s="83" t="str">
        <f t="shared" ca="1" si="15"/>
        <v/>
      </c>
      <c r="V57" s="83"/>
      <c r="W57" s="83"/>
      <c r="X57" s="83" t="str">
        <f t="shared" ca="1" si="16"/>
        <v/>
      </c>
      <c r="Y57" s="83"/>
      <c r="Z57" s="101" t="str">
        <f t="shared" ca="1" si="19"/>
        <v/>
      </c>
      <c r="AA57" s="87" t="str">
        <f t="shared" ca="1" si="8"/>
        <v/>
      </c>
      <c r="AB57" s="95" t="str">
        <f t="shared" ca="1" si="9"/>
        <v/>
      </c>
      <c r="AC57" s="87"/>
      <c r="AD57" s="87"/>
      <c r="AE57" s="87"/>
      <c r="AF57" s="95" t="str">
        <f t="shared" ca="1" si="10"/>
        <v/>
      </c>
      <c r="AG57" s="91"/>
      <c r="AH57" s="87"/>
      <c r="AI57" s="87"/>
      <c r="AJ57" s="87"/>
      <c r="AK57" s="87"/>
      <c r="AL57" s="87"/>
      <c r="AM57" s="87"/>
      <c r="AN57" s="87"/>
      <c r="AO57" s="87"/>
      <c r="AP57" s="87"/>
      <c r="AQ57" s="87"/>
      <c r="AR57" s="87" t="str">
        <f t="shared" si="11"/>
        <v/>
      </c>
      <c r="AS57" s="91"/>
      <c r="AT57" s="91"/>
    </row>
    <row r="58" spans="1:46" x14ac:dyDescent="0.25">
      <c r="A58" s="88">
        <v>42</v>
      </c>
      <c r="B58" s="88" t="str">
        <f ca="1">IF($A18&lt;=$C$8,B57,"")</f>
        <v/>
      </c>
      <c r="C58" s="83">
        <f ca="1">IF(B58="",0,COUNTIF($C$17:C57,"&gt;0")+1)</f>
        <v>0</v>
      </c>
      <c r="D58" s="84"/>
      <c r="E58" s="84"/>
      <c r="F58" s="84"/>
      <c r="G58" s="84"/>
      <c r="H58" s="84"/>
      <c r="I58" s="88" t="str">
        <f t="shared" ca="1" si="12"/>
        <v/>
      </c>
      <c r="J58" s="87" t="str">
        <f t="shared" ca="1" si="3"/>
        <v/>
      </c>
      <c r="K58" s="96"/>
      <c r="L58" s="83">
        <f ca="1">IF(J58="",0,COUNTIF(L$4:L57,"&gt;0")+MAX($Q$4:$Q$13)+1)</f>
        <v>0</v>
      </c>
      <c r="M58" s="84"/>
      <c r="N58" s="84"/>
      <c r="O58" s="84"/>
      <c r="P58" s="84"/>
      <c r="Q58" s="84"/>
      <c r="R58" s="83"/>
      <c r="S58" s="83" t="str">
        <f t="shared" ca="1" si="17"/>
        <v/>
      </c>
      <c r="T58" s="83" t="str">
        <f t="shared" ca="1" si="18"/>
        <v/>
      </c>
      <c r="U58" s="83" t="str">
        <f t="shared" ca="1" si="15"/>
        <v/>
      </c>
      <c r="V58" s="83"/>
      <c r="W58" s="83"/>
      <c r="X58" s="83" t="str">
        <f t="shared" ca="1" si="16"/>
        <v/>
      </c>
      <c r="Y58" s="83"/>
      <c r="Z58" s="101" t="str">
        <f t="shared" ca="1" si="19"/>
        <v/>
      </c>
      <c r="AA58" s="87" t="str">
        <f t="shared" ca="1" si="8"/>
        <v/>
      </c>
      <c r="AB58" s="95" t="str">
        <f t="shared" ca="1" si="9"/>
        <v/>
      </c>
      <c r="AC58" s="87"/>
      <c r="AD58" s="87"/>
      <c r="AE58" s="87"/>
      <c r="AF58" s="95" t="str">
        <f t="shared" ca="1" si="10"/>
        <v/>
      </c>
      <c r="AG58" s="91"/>
      <c r="AH58" s="87"/>
      <c r="AI58" s="87"/>
      <c r="AJ58" s="87"/>
      <c r="AK58" s="87"/>
      <c r="AL58" s="87"/>
      <c r="AM58" s="87"/>
      <c r="AN58" s="87"/>
      <c r="AO58" s="87"/>
      <c r="AP58" s="87"/>
      <c r="AQ58" s="87"/>
      <c r="AR58" s="87" t="str">
        <f t="shared" si="11"/>
        <v/>
      </c>
      <c r="AS58" s="91"/>
      <c r="AT58" s="91"/>
    </row>
    <row r="59" spans="1:46" x14ac:dyDescent="0.25">
      <c r="A59" s="88">
        <v>43</v>
      </c>
      <c r="B59" s="88" t="str">
        <f t="shared" ref="B59:B66" ca="1" si="22">IF($A19&lt;=$C$8,B58,"")</f>
        <v/>
      </c>
      <c r="C59" s="83">
        <f ca="1">IF(B59="",0,COUNTIF($C$17:C58,"&gt;0")+1)</f>
        <v>0</v>
      </c>
      <c r="D59" s="84"/>
      <c r="E59" s="84"/>
      <c r="F59" s="84"/>
      <c r="G59" s="84"/>
      <c r="H59" s="84"/>
      <c r="I59" s="88" t="str">
        <f t="shared" ca="1" si="12"/>
        <v/>
      </c>
      <c r="J59" s="87" t="str">
        <f t="shared" ca="1" si="3"/>
        <v/>
      </c>
      <c r="K59" s="96"/>
      <c r="L59" s="83">
        <f ca="1">IF(J59="",0,COUNTIF(L$4:L58,"&gt;0")+MAX($Q$4:$Q$13)+1)</f>
        <v>0</v>
      </c>
      <c r="M59" s="84"/>
      <c r="N59" s="84"/>
      <c r="O59" s="84"/>
      <c r="P59" s="84"/>
      <c r="Q59" s="84"/>
      <c r="R59" s="83"/>
      <c r="S59" s="83" t="str">
        <f t="shared" ca="1" si="17"/>
        <v/>
      </c>
      <c r="T59" s="83" t="str">
        <f t="shared" ca="1" si="18"/>
        <v/>
      </c>
      <c r="U59" s="83" t="str">
        <f t="shared" ca="1" si="15"/>
        <v/>
      </c>
      <c r="V59" s="83"/>
      <c r="W59" s="83"/>
      <c r="X59" s="83" t="str">
        <f t="shared" ca="1" si="16"/>
        <v/>
      </c>
      <c r="Y59" s="83"/>
      <c r="Z59" s="101" t="str">
        <f t="shared" ca="1" si="19"/>
        <v/>
      </c>
      <c r="AA59" s="87" t="str">
        <f t="shared" ca="1" si="8"/>
        <v/>
      </c>
      <c r="AB59" s="95" t="str">
        <f t="shared" ca="1" si="9"/>
        <v/>
      </c>
      <c r="AC59" s="87"/>
      <c r="AD59" s="87"/>
      <c r="AE59" s="87"/>
      <c r="AF59" s="95" t="str">
        <f t="shared" ca="1" si="10"/>
        <v/>
      </c>
      <c r="AG59" s="91"/>
      <c r="AH59" s="87"/>
      <c r="AI59" s="87"/>
      <c r="AJ59" s="87"/>
      <c r="AK59" s="87"/>
      <c r="AL59" s="87"/>
      <c r="AM59" s="87"/>
      <c r="AN59" s="87"/>
      <c r="AO59" s="87"/>
      <c r="AP59" s="87"/>
      <c r="AQ59" s="87"/>
      <c r="AR59" s="87" t="str">
        <f t="shared" si="11"/>
        <v/>
      </c>
      <c r="AS59" s="91"/>
      <c r="AT59" s="91"/>
    </row>
    <row r="60" spans="1:46" x14ac:dyDescent="0.25">
      <c r="A60" s="88">
        <v>44</v>
      </c>
      <c r="B60" s="88" t="str">
        <f t="shared" ca="1" si="22"/>
        <v/>
      </c>
      <c r="C60" s="83">
        <f ca="1">IF(B60="",0,COUNTIF($C$17:C59,"&gt;0")+1)</f>
        <v>0</v>
      </c>
      <c r="D60" s="84"/>
      <c r="E60" s="84"/>
      <c r="F60" s="84"/>
      <c r="G60" s="84"/>
      <c r="H60" s="84"/>
      <c r="I60" s="88" t="str">
        <f t="shared" ca="1" si="12"/>
        <v/>
      </c>
      <c r="J60" s="87" t="str">
        <f t="shared" ca="1" si="3"/>
        <v/>
      </c>
      <c r="K60" s="96"/>
      <c r="L60" s="83">
        <f ca="1">IF(J60="",0,COUNTIF(L$4:L59,"&gt;0")+MAX($Q$4:$Q$13)+1)</f>
        <v>0</v>
      </c>
      <c r="M60" s="84"/>
      <c r="N60" s="84"/>
      <c r="O60" s="84"/>
      <c r="P60" s="84"/>
      <c r="Q60" s="84"/>
      <c r="R60" s="83"/>
      <c r="S60" s="83" t="str">
        <f t="shared" ca="1" si="17"/>
        <v/>
      </c>
      <c r="T60" s="83" t="str">
        <f t="shared" ca="1" si="18"/>
        <v/>
      </c>
      <c r="U60" s="83" t="str">
        <f t="shared" ca="1" si="15"/>
        <v/>
      </c>
      <c r="V60" s="83"/>
      <c r="W60" s="83"/>
      <c r="X60" s="83" t="str">
        <f t="shared" ca="1" si="16"/>
        <v/>
      </c>
      <c r="Y60" s="83"/>
      <c r="Z60" s="101" t="str">
        <f t="shared" ca="1" si="19"/>
        <v/>
      </c>
      <c r="AA60" s="87" t="str">
        <f t="shared" ca="1" si="8"/>
        <v/>
      </c>
      <c r="AB60" s="95" t="str">
        <f t="shared" ca="1" si="9"/>
        <v/>
      </c>
      <c r="AC60" s="87"/>
      <c r="AD60" s="87"/>
      <c r="AE60" s="87"/>
      <c r="AF60" s="95" t="str">
        <f t="shared" ca="1" si="10"/>
        <v/>
      </c>
      <c r="AG60" s="91"/>
      <c r="AH60" s="87"/>
      <c r="AI60" s="87"/>
      <c r="AJ60" s="87"/>
      <c r="AK60" s="87"/>
      <c r="AL60" s="87"/>
      <c r="AM60" s="87"/>
      <c r="AN60" s="87"/>
      <c r="AO60" s="87"/>
      <c r="AP60" s="87"/>
      <c r="AQ60" s="87"/>
      <c r="AR60" s="87" t="str">
        <f t="shared" si="11"/>
        <v/>
      </c>
      <c r="AS60" s="91"/>
      <c r="AT60" s="91"/>
    </row>
    <row r="61" spans="1:46" x14ac:dyDescent="0.25">
      <c r="A61" s="88">
        <v>45</v>
      </c>
      <c r="B61" s="88" t="str">
        <f t="shared" ca="1" si="22"/>
        <v/>
      </c>
      <c r="C61" s="83">
        <f ca="1">IF(B61="",0,COUNTIF($C$17:C60,"&gt;0")+1)</f>
        <v>0</v>
      </c>
      <c r="D61" s="84"/>
      <c r="E61" s="84"/>
      <c r="F61" s="84"/>
      <c r="G61" s="84"/>
      <c r="H61" s="84"/>
      <c r="I61" s="88" t="str">
        <f t="shared" ca="1" si="12"/>
        <v/>
      </c>
      <c r="J61" s="87" t="str">
        <f t="shared" ca="1" si="3"/>
        <v/>
      </c>
      <c r="K61" s="96"/>
      <c r="L61" s="83">
        <f ca="1">IF(J61="",0,COUNTIF(L$4:L60,"&gt;0")+MAX($Q$4:$Q$13)+1)</f>
        <v>0</v>
      </c>
      <c r="M61" s="84"/>
      <c r="N61" s="84"/>
      <c r="O61" s="84"/>
      <c r="P61" s="84"/>
      <c r="Q61" s="84"/>
      <c r="R61" s="83"/>
      <c r="S61" s="83" t="str">
        <f t="shared" ca="1" si="17"/>
        <v/>
      </c>
      <c r="T61" s="83" t="str">
        <f t="shared" ca="1" si="18"/>
        <v/>
      </c>
      <c r="U61" s="83" t="str">
        <f t="shared" ca="1" si="15"/>
        <v/>
      </c>
      <c r="V61" s="83"/>
      <c r="W61" s="83"/>
      <c r="X61" s="83" t="str">
        <f t="shared" ca="1" si="16"/>
        <v/>
      </c>
      <c r="Y61" s="83"/>
      <c r="Z61" s="101" t="str">
        <f t="shared" ca="1" si="19"/>
        <v/>
      </c>
      <c r="AA61" s="87" t="str">
        <f t="shared" ca="1" si="8"/>
        <v/>
      </c>
      <c r="AB61" s="95" t="str">
        <f t="shared" ca="1" si="9"/>
        <v/>
      </c>
      <c r="AC61" s="87"/>
      <c r="AD61" s="87"/>
      <c r="AE61" s="87"/>
      <c r="AF61" s="95" t="str">
        <f t="shared" ca="1" si="10"/>
        <v/>
      </c>
      <c r="AG61" s="91"/>
      <c r="AH61" s="87"/>
      <c r="AI61" s="87"/>
      <c r="AJ61" s="87"/>
      <c r="AK61" s="87"/>
      <c r="AL61" s="87"/>
      <c r="AM61" s="87"/>
      <c r="AN61" s="87"/>
      <c r="AO61" s="87"/>
      <c r="AP61" s="87"/>
      <c r="AQ61" s="87"/>
      <c r="AR61" s="87" t="str">
        <f t="shared" si="11"/>
        <v/>
      </c>
      <c r="AS61" s="91"/>
      <c r="AT61" s="91"/>
    </row>
    <row r="62" spans="1:46" x14ac:dyDescent="0.25">
      <c r="A62" s="88">
        <v>46</v>
      </c>
      <c r="B62" s="88" t="str">
        <f t="shared" ca="1" si="22"/>
        <v/>
      </c>
      <c r="C62" s="83">
        <f ca="1">IF(B62="",0,COUNTIF($C$17:C61,"&gt;0")+1)</f>
        <v>0</v>
      </c>
      <c r="D62" s="84"/>
      <c r="E62" s="84"/>
      <c r="F62" s="84"/>
      <c r="G62" s="84"/>
      <c r="H62" s="84"/>
      <c r="I62" s="88" t="str">
        <f t="shared" ca="1" si="12"/>
        <v/>
      </c>
      <c r="J62" s="87" t="str">
        <f t="shared" ca="1" si="3"/>
        <v/>
      </c>
      <c r="K62" s="96"/>
      <c r="L62" s="83">
        <f ca="1">IF(J62="",0,COUNTIF(L$4:L61,"&gt;0")+MAX($Q$4:$Q$13)+1)</f>
        <v>0</v>
      </c>
      <c r="M62" s="84"/>
      <c r="N62" s="84"/>
      <c r="O62" s="84"/>
      <c r="P62" s="84"/>
      <c r="Q62" s="84"/>
      <c r="R62" s="83"/>
      <c r="S62" s="83" t="str">
        <f t="shared" ca="1" si="17"/>
        <v/>
      </c>
      <c r="T62" s="83" t="str">
        <f t="shared" ca="1" si="18"/>
        <v/>
      </c>
      <c r="U62" s="83" t="str">
        <f t="shared" ca="1" si="15"/>
        <v/>
      </c>
      <c r="V62" s="83"/>
      <c r="W62" s="83"/>
      <c r="X62" s="83" t="str">
        <f t="shared" ca="1" si="16"/>
        <v/>
      </c>
      <c r="Y62" s="83"/>
      <c r="Z62" s="101" t="str">
        <f t="shared" ca="1" si="19"/>
        <v/>
      </c>
      <c r="AA62" s="87" t="str">
        <f t="shared" ca="1" si="8"/>
        <v/>
      </c>
      <c r="AB62" s="95" t="str">
        <f t="shared" ca="1" si="9"/>
        <v/>
      </c>
      <c r="AC62" s="87"/>
      <c r="AD62" s="87"/>
      <c r="AE62" s="87"/>
      <c r="AF62" s="95" t="str">
        <f t="shared" ca="1" si="10"/>
        <v/>
      </c>
      <c r="AG62" s="91"/>
      <c r="AH62" s="87"/>
      <c r="AI62" s="87"/>
      <c r="AJ62" s="87"/>
      <c r="AK62" s="87"/>
      <c r="AL62" s="87"/>
      <c r="AM62" s="87"/>
      <c r="AN62" s="87"/>
      <c r="AO62" s="87"/>
      <c r="AP62" s="87"/>
      <c r="AQ62" s="87"/>
      <c r="AR62" s="87" t="str">
        <f t="shared" si="11"/>
        <v/>
      </c>
      <c r="AS62" s="91"/>
      <c r="AT62" s="91"/>
    </row>
    <row r="63" spans="1:46" x14ac:dyDescent="0.25">
      <c r="A63" s="88">
        <v>47</v>
      </c>
      <c r="B63" s="88" t="str">
        <f t="shared" ca="1" si="22"/>
        <v/>
      </c>
      <c r="C63" s="83">
        <f ca="1">IF(B63="",0,COUNTIF($C$17:C62,"&gt;0")+1)</f>
        <v>0</v>
      </c>
      <c r="D63" s="84"/>
      <c r="E63" s="84"/>
      <c r="F63" s="84"/>
      <c r="G63" s="84"/>
      <c r="H63" s="84"/>
      <c r="I63" s="88" t="str">
        <f t="shared" ca="1" si="12"/>
        <v/>
      </c>
      <c r="J63" s="87" t="str">
        <f t="shared" ca="1" si="3"/>
        <v/>
      </c>
      <c r="K63" s="96"/>
      <c r="L63" s="83">
        <f ca="1">IF(J63="",0,COUNTIF(L$4:L62,"&gt;0")+MAX($Q$4:$Q$13)+1)</f>
        <v>0</v>
      </c>
      <c r="M63" s="84"/>
      <c r="N63" s="84"/>
      <c r="O63" s="84"/>
      <c r="P63" s="84"/>
      <c r="Q63" s="84"/>
      <c r="R63" s="83"/>
      <c r="S63" s="83" t="str">
        <f t="shared" ca="1" si="17"/>
        <v/>
      </c>
      <c r="T63" s="83" t="str">
        <f t="shared" ca="1" si="18"/>
        <v/>
      </c>
      <c r="U63" s="83" t="str">
        <f t="shared" ca="1" si="15"/>
        <v/>
      </c>
      <c r="V63" s="83"/>
      <c r="W63" s="83"/>
      <c r="X63" s="83" t="str">
        <f t="shared" ca="1" si="16"/>
        <v/>
      </c>
      <c r="Y63" s="83"/>
      <c r="Z63" s="101" t="str">
        <f t="shared" ca="1" si="19"/>
        <v/>
      </c>
      <c r="AA63" s="87" t="str">
        <f t="shared" ca="1" si="8"/>
        <v/>
      </c>
      <c r="AB63" s="95" t="str">
        <f t="shared" ca="1" si="9"/>
        <v/>
      </c>
      <c r="AC63" s="87"/>
      <c r="AD63" s="87"/>
      <c r="AE63" s="87"/>
      <c r="AF63" s="95" t="str">
        <f t="shared" ca="1" si="10"/>
        <v/>
      </c>
      <c r="AG63" s="91"/>
      <c r="AH63" s="87"/>
      <c r="AI63" s="87"/>
      <c r="AJ63" s="87"/>
      <c r="AK63" s="87"/>
      <c r="AL63" s="87"/>
      <c r="AM63" s="87"/>
      <c r="AN63" s="87"/>
      <c r="AO63" s="87"/>
      <c r="AP63" s="87"/>
      <c r="AQ63" s="87"/>
      <c r="AR63" s="87" t="str">
        <f t="shared" si="11"/>
        <v/>
      </c>
      <c r="AS63" s="91"/>
      <c r="AT63" s="91"/>
    </row>
    <row r="64" spans="1:46" x14ac:dyDescent="0.25">
      <c r="A64" s="88">
        <v>48</v>
      </c>
      <c r="B64" s="88" t="str">
        <f t="shared" ca="1" si="22"/>
        <v/>
      </c>
      <c r="C64" s="83">
        <f ca="1">IF(B64="",0,COUNTIF($C$17:C63,"&gt;0")+1)</f>
        <v>0</v>
      </c>
      <c r="D64" s="84"/>
      <c r="E64" s="84"/>
      <c r="F64" s="84"/>
      <c r="G64" s="84"/>
      <c r="H64" s="84"/>
      <c r="I64" s="88" t="str">
        <f t="shared" ca="1" si="12"/>
        <v/>
      </c>
      <c r="J64" s="87" t="str">
        <f t="shared" ca="1" si="3"/>
        <v/>
      </c>
      <c r="K64" s="96"/>
      <c r="L64" s="83">
        <f ca="1">IF(J64="",0,COUNTIF(L$4:L63,"&gt;0")+MAX($Q$4:$Q$13)+1)</f>
        <v>0</v>
      </c>
      <c r="M64" s="84"/>
      <c r="N64" s="84"/>
      <c r="O64" s="84"/>
      <c r="P64" s="84"/>
      <c r="Q64" s="84"/>
      <c r="R64" s="83"/>
      <c r="S64" s="83" t="str">
        <f t="shared" ca="1" si="17"/>
        <v/>
      </c>
      <c r="T64" s="83" t="str">
        <f t="shared" ca="1" si="18"/>
        <v/>
      </c>
      <c r="U64" s="83" t="str">
        <f t="shared" ca="1" si="15"/>
        <v/>
      </c>
      <c r="V64" s="83"/>
      <c r="W64" s="83"/>
      <c r="X64" s="83" t="str">
        <f t="shared" ca="1" si="16"/>
        <v/>
      </c>
      <c r="Y64" s="83"/>
      <c r="Z64" s="101" t="str">
        <f t="shared" ca="1" si="19"/>
        <v/>
      </c>
      <c r="AA64" s="87" t="str">
        <f t="shared" ca="1" si="8"/>
        <v/>
      </c>
      <c r="AB64" s="95" t="str">
        <f t="shared" ca="1" si="9"/>
        <v/>
      </c>
      <c r="AC64" s="87"/>
      <c r="AD64" s="87"/>
      <c r="AE64" s="87"/>
      <c r="AF64" s="95" t="str">
        <f t="shared" ca="1" si="10"/>
        <v/>
      </c>
      <c r="AG64" s="91"/>
      <c r="AH64" s="87"/>
      <c r="AI64" s="87"/>
      <c r="AJ64" s="87"/>
      <c r="AK64" s="87"/>
      <c r="AL64" s="87"/>
      <c r="AM64" s="87"/>
      <c r="AN64" s="87"/>
      <c r="AO64" s="87"/>
      <c r="AP64" s="87"/>
      <c r="AQ64" s="87"/>
      <c r="AR64" s="87" t="str">
        <f t="shared" si="11"/>
        <v/>
      </c>
      <c r="AS64" s="91"/>
      <c r="AT64" s="91"/>
    </row>
    <row r="65" spans="1:46" x14ac:dyDescent="0.25">
      <c r="A65" s="88">
        <v>49</v>
      </c>
      <c r="B65" s="88" t="str">
        <f t="shared" ca="1" si="22"/>
        <v/>
      </c>
      <c r="C65" s="83">
        <f ca="1">IF(B65="",0,COUNTIF($C$17:C64,"&gt;0")+1)</f>
        <v>0</v>
      </c>
      <c r="D65" s="84"/>
      <c r="E65" s="84"/>
      <c r="F65" s="84"/>
      <c r="G65" s="84"/>
      <c r="H65" s="84"/>
      <c r="I65" s="88" t="str">
        <f t="shared" ca="1" si="12"/>
        <v/>
      </c>
      <c r="J65" s="87" t="str">
        <f t="shared" ca="1" si="3"/>
        <v/>
      </c>
      <c r="K65" s="96"/>
      <c r="L65" s="83">
        <f ca="1">IF(J65="",0,COUNTIF(L$4:L64,"&gt;0")+MAX($Q$4:$Q$13)+1)</f>
        <v>0</v>
      </c>
      <c r="M65" s="84"/>
      <c r="N65" s="84"/>
      <c r="O65" s="84"/>
      <c r="P65" s="84"/>
      <c r="Q65" s="84"/>
      <c r="R65" s="83"/>
      <c r="S65" s="83" t="str">
        <f t="shared" ca="1" si="17"/>
        <v/>
      </c>
      <c r="T65" s="83" t="str">
        <f t="shared" ca="1" si="18"/>
        <v/>
      </c>
      <c r="U65" s="83" t="str">
        <f t="shared" ca="1" si="15"/>
        <v/>
      </c>
      <c r="V65" s="83"/>
      <c r="W65" s="83"/>
      <c r="X65" s="83" t="str">
        <f t="shared" ca="1" si="16"/>
        <v/>
      </c>
      <c r="Y65" s="83"/>
      <c r="Z65" s="101" t="str">
        <f t="shared" ca="1" si="19"/>
        <v/>
      </c>
      <c r="AA65" s="87" t="str">
        <f t="shared" ca="1" si="8"/>
        <v/>
      </c>
      <c r="AB65" s="95" t="str">
        <f t="shared" ca="1" si="9"/>
        <v/>
      </c>
      <c r="AC65" s="87"/>
      <c r="AD65" s="87"/>
      <c r="AE65" s="87"/>
      <c r="AF65" s="95" t="str">
        <f t="shared" ca="1" si="10"/>
        <v/>
      </c>
      <c r="AG65" s="91"/>
      <c r="AH65" s="87"/>
      <c r="AI65" s="87"/>
      <c r="AJ65" s="87"/>
      <c r="AK65" s="87"/>
      <c r="AL65" s="87"/>
      <c r="AM65" s="87"/>
      <c r="AN65" s="87"/>
      <c r="AO65" s="87"/>
      <c r="AP65" s="87"/>
      <c r="AQ65" s="87"/>
      <c r="AR65" s="87" t="str">
        <f t="shared" si="11"/>
        <v/>
      </c>
      <c r="AS65" s="91"/>
      <c r="AT65" s="91"/>
    </row>
    <row r="66" spans="1:46" x14ac:dyDescent="0.25">
      <c r="A66" s="88">
        <v>50</v>
      </c>
      <c r="B66" s="88" t="str">
        <f t="shared" ca="1" si="22"/>
        <v/>
      </c>
      <c r="C66" s="83">
        <f ca="1">IF(B66="",0,COUNTIF($C$17:C65,"&gt;0")+1)</f>
        <v>0</v>
      </c>
      <c r="D66" s="84"/>
      <c r="E66" s="84"/>
      <c r="F66" s="84"/>
      <c r="G66" s="84"/>
      <c r="H66" s="84"/>
      <c r="I66" s="88" t="str">
        <f t="shared" ca="1" si="12"/>
        <v/>
      </c>
      <c r="J66" s="87" t="str">
        <f t="shared" ca="1" si="3"/>
        <v/>
      </c>
      <c r="K66" s="96"/>
      <c r="L66" s="83">
        <f ca="1">IF(J66="",0,COUNTIF(L$4:L65,"&gt;0")+MAX($Q$4:$Q$13)+1)</f>
        <v>0</v>
      </c>
      <c r="M66" s="84"/>
      <c r="N66" s="84"/>
      <c r="O66" s="84"/>
      <c r="P66" s="84"/>
      <c r="Q66" s="84"/>
      <c r="R66" s="83"/>
      <c r="S66" s="83" t="str">
        <f t="shared" ca="1" si="17"/>
        <v/>
      </c>
      <c r="T66" s="83" t="str">
        <f t="shared" ca="1" si="18"/>
        <v/>
      </c>
      <c r="U66" s="83" t="str">
        <f t="shared" ca="1" si="15"/>
        <v/>
      </c>
      <c r="V66" s="83"/>
      <c r="W66" s="83"/>
      <c r="X66" s="83" t="str">
        <f t="shared" ca="1" si="16"/>
        <v/>
      </c>
      <c r="Y66" s="83"/>
      <c r="Z66" s="101" t="str">
        <f t="shared" ca="1" si="19"/>
        <v/>
      </c>
      <c r="AA66" s="87" t="str">
        <f t="shared" ca="1" si="8"/>
        <v/>
      </c>
      <c r="AB66" s="95" t="str">
        <f t="shared" ca="1" si="9"/>
        <v/>
      </c>
      <c r="AC66" s="87"/>
      <c r="AD66" s="87"/>
      <c r="AE66" s="87"/>
      <c r="AF66" s="95" t="str">
        <f t="shared" ca="1" si="10"/>
        <v/>
      </c>
      <c r="AG66" s="91"/>
      <c r="AH66" s="87"/>
      <c r="AI66" s="87"/>
      <c r="AJ66" s="87"/>
      <c r="AK66" s="87"/>
      <c r="AL66" s="87"/>
      <c r="AM66" s="87"/>
      <c r="AN66" s="87"/>
      <c r="AO66" s="87"/>
      <c r="AP66" s="87"/>
      <c r="AQ66" s="87"/>
      <c r="AR66" s="87" t="str">
        <f t="shared" si="11"/>
        <v/>
      </c>
      <c r="AS66" s="91"/>
      <c r="AT66" s="91"/>
    </row>
    <row r="67" spans="1:46" x14ac:dyDescent="0.25">
      <c r="A67" s="90">
        <v>51</v>
      </c>
      <c r="B67" s="90" t="str">
        <f ca="1">IF(B9=0,"",B9)</f>
        <v/>
      </c>
      <c r="C67" s="83">
        <f ca="1">IF(B67="",0,COUNTIF($C$17:C66,"&gt;0")+1)</f>
        <v>0</v>
      </c>
      <c r="D67" s="84"/>
      <c r="E67" s="84"/>
      <c r="F67" s="84"/>
      <c r="G67" s="84"/>
      <c r="H67" s="84"/>
      <c r="I67" s="88" t="str">
        <f t="shared" ca="1" si="12"/>
        <v/>
      </c>
      <c r="J67" s="87" t="str">
        <f t="shared" ca="1" si="3"/>
        <v/>
      </c>
      <c r="K67" s="96"/>
      <c r="L67" s="83">
        <f ca="1">IF(J67="",0,COUNTIF(L$4:L66,"&gt;0")+MAX($Q$4:$Q$13)+1)</f>
        <v>0</v>
      </c>
      <c r="M67" s="84"/>
      <c r="N67" s="84"/>
      <c r="O67" s="84"/>
      <c r="P67" s="84"/>
      <c r="Q67" s="84"/>
      <c r="R67" s="83"/>
      <c r="S67" s="83" t="str">
        <f t="shared" ca="1" si="17"/>
        <v/>
      </c>
      <c r="T67" s="83" t="str">
        <f t="shared" ca="1" si="18"/>
        <v/>
      </c>
      <c r="U67" s="83" t="str">
        <f t="shared" ca="1" si="15"/>
        <v/>
      </c>
      <c r="V67" s="83"/>
      <c r="W67" s="83"/>
      <c r="X67" s="83" t="str">
        <f t="shared" ca="1" si="16"/>
        <v/>
      </c>
      <c r="Y67" s="83"/>
      <c r="Z67" s="101" t="str">
        <f t="shared" ca="1" si="19"/>
        <v/>
      </c>
      <c r="AA67" s="87" t="str">
        <f t="shared" ca="1" si="8"/>
        <v/>
      </c>
      <c r="AB67" s="95" t="str">
        <f t="shared" ca="1" si="9"/>
        <v/>
      </c>
      <c r="AC67" s="87"/>
      <c r="AD67" s="87"/>
      <c r="AE67" s="87"/>
      <c r="AF67" s="95" t="str">
        <f t="shared" ca="1" si="10"/>
        <v/>
      </c>
      <c r="AG67" s="91"/>
      <c r="AH67" s="87"/>
      <c r="AI67" s="87"/>
      <c r="AJ67" s="87"/>
      <c r="AK67" s="87"/>
      <c r="AL67" s="87"/>
      <c r="AM67" s="87"/>
      <c r="AN67" s="87"/>
      <c r="AO67" s="87"/>
      <c r="AP67" s="87"/>
      <c r="AQ67" s="87"/>
      <c r="AR67" s="87" t="str">
        <f t="shared" si="11"/>
        <v/>
      </c>
      <c r="AS67" s="91"/>
      <c r="AT67" s="91"/>
    </row>
    <row r="68" spans="1:46" x14ac:dyDescent="0.25">
      <c r="A68" s="90">
        <v>52</v>
      </c>
      <c r="B68" s="90" t="str">
        <f ca="1">IF($A18&lt;=$C$9,B67,"")</f>
        <v/>
      </c>
      <c r="C68" s="83">
        <f ca="1">IF(B68="",0,COUNTIF($C$17:C67,"&gt;0")+1)</f>
        <v>0</v>
      </c>
      <c r="D68" s="84"/>
      <c r="E68" s="84"/>
      <c r="F68" s="84"/>
      <c r="G68" s="84"/>
      <c r="H68" s="84"/>
      <c r="I68" s="88" t="str">
        <f t="shared" ca="1" si="12"/>
        <v/>
      </c>
      <c r="J68" s="87" t="str">
        <f t="shared" ca="1" si="3"/>
        <v/>
      </c>
      <c r="K68" s="96"/>
      <c r="L68" s="83">
        <f ca="1">IF(J68="",0,COUNTIF(L$4:L67,"&gt;0")+MAX($Q$4:$Q$13)+1)</f>
        <v>0</v>
      </c>
      <c r="M68" s="84"/>
      <c r="N68" s="84"/>
      <c r="O68" s="84"/>
      <c r="P68" s="84"/>
      <c r="Q68" s="84"/>
      <c r="R68" s="83"/>
      <c r="S68" s="83" t="str">
        <f t="shared" ca="1" si="17"/>
        <v/>
      </c>
      <c r="T68" s="83" t="str">
        <f t="shared" ca="1" si="18"/>
        <v/>
      </c>
      <c r="U68" s="83" t="str">
        <f t="shared" ref="U68:U99" ca="1" si="23">IFERROR(INDEX($P$4:$P$13,MATCH($S68,$Q$4:$Q$13,0),1),IFERROR(INDEX($K$4:$K$103,MATCH($S68,$L$4:$L$103,0),1),""))</f>
        <v/>
      </c>
      <c r="V68" s="83"/>
      <c r="W68" s="83"/>
      <c r="X68" s="83" t="str">
        <f t="shared" ref="X68:X99" ca="1" si="24">IFERROR(LARGE($V$4:$V$113,Z68),"")</f>
        <v/>
      </c>
      <c r="Y68" s="83"/>
      <c r="Z68" s="101" t="str">
        <f t="shared" ca="1" si="19"/>
        <v/>
      </c>
      <c r="AA68" s="87" t="str">
        <f t="shared" ca="1" si="8"/>
        <v/>
      </c>
      <c r="AB68" s="95" t="str">
        <f t="shared" ca="1" si="9"/>
        <v/>
      </c>
      <c r="AC68" s="87"/>
      <c r="AD68" s="87"/>
      <c r="AE68" s="87"/>
      <c r="AF68" s="95" t="str">
        <f t="shared" ca="1" si="10"/>
        <v/>
      </c>
      <c r="AG68" s="91"/>
      <c r="AH68" s="87"/>
      <c r="AI68" s="87"/>
      <c r="AJ68" s="87"/>
      <c r="AK68" s="87"/>
      <c r="AL68" s="87"/>
      <c r="AM68" s="87"/>
      <c r="AN68" s="87"/>
      <c r="AO68" s="87"/>
      <c r="AP68" s="87"/>
      <c r="AQ68" s="87"/>
      <c r="AR68" s="87" t="str">
        <f t="shared" si="11"/>
        <v/>
      </c>
      <c r="AS68" s="91"/>
      <c r="AT68" s="91"/>
    </row>
    <row r="69" spans="1:46" x14ac:dyDescent="0.25">
      <c r="A69" s="90">
        <v>53</v>
      </c>
      <c r="B69" s="90" t="str">
        <f t="shared" ref="B69:B76" ca="1" si="25">IF($A19&lt;=$C$9,B68,"")</f>
        <v/>
      </c>
      <c r="C69" s="83">
        <f ca="1">IF(B69="",0,COUNTIF($C$17:C68,"&gt;0")+1)</f>
        <v>0</v>
      </c>
      <c r="D69" s="84"/>
      <c r="E69" s="84"/>
      <c r="F69" s="84"/>
      <c r="G69" s="84"/>
      <c r="H69" s="84"/>
      <c r="I69" s="88" t="str">
        <f t="shared" ca="1" si="12"/>
        <v/>
      </c>
      <c r="J69" s="87" t="str">
        <f t="shared" ref="J69:J103" ca="1" si="26">IFERROR(INDEX($B$17:$B$116,MATCH($I69,$C$17:$C$116,0),1),"")</f>
        <v/>
      </c>
      <c r="K69" s="96"/>
      <c r="L69" s="83">
        <f ca="1">IF(J69="",0,COUNTIF(L$4:L68,"&gt;0")+MAX($Q$4:$Q$13)+1)</f>
        <v>0</v>
      </c>
      <c r="M69" s="84"/>
      <c r="N69" s="84"/>
      <c r="O69" s="84"/>
      <c r="P69" s="84"/>
      <c r="Q69" s="84"/>
      <c r="R69" s="83"/>
      <c r="S69" s="83" t="str">
        <f t="shared" ref="S69:S100" ca="1" si="27">IFERROR(IF(S68+1&lt;=$C$2+MAX($Q$4:$Q$13),S68+1,""),"")</f>
        <v/>
      </c>
      <c r="T69" s="83" t="str">
        <f t="shared" ref="T69:T100" ca="1" si="28">IFERROR(INDEX($O$4:$O$13,MATCH(S69,$Q$4:$Q$13,0),1),IFERROR(INDEX($J$4:$J$103,MATCH(S69,$L$4:$L$103,0),1),""))</f>
        <v/>
      </c>
      <c r="U69" s="83" t="str">
        <f t="shared" ca="1" si="23"/>
        <v/>
      </c>
      <c r="V69" s="83"/>
      <c r="W69" s="83"/>
      <c r="X69" s="83" t="str">
        <f t="shared" ca="1" si="24"/>
        <v/>
      </c>
      <c r="Y69" s="83"/>
      <c r="Z69" s="101" t="str">
        <f t="shared" ref="Z69:Z100" ca="1" si="29">IFERROR(IF(Z68+1&lt;=$C$2+MAX($Q$4:$Q$13),Z68+1,""),"")</f>
        <v/>
      </c>
      <c r="AA69" s="87" t="str">
        <f t="shared" ref="AA69:AA113" ca="1" si="30">IFERROR(INDEX($T$4:$T$113,MATCH(X69,$V$4:$V$113,0),1),"")</f>
        <v/>
      </c>
      <c r="AB69" s="95" t="str">
        <f t="shared" ref="AB69:AB113" ca="1" si="31">IFERROR(ROUNDDOWN(X69,0),"")</f>
        <v/>
      </c>
      <c r="AC69" s="87"/>
      <c r="AD69" s="87"/>
      <c r="AE69" s="87"/>
      <c r="AF69" s="95" t="str">
        <f t="shared" ref="AF69:AF113" ca="1" si="32">IF(Z69="","",AC69+AD69-AE69)</f>
        <v/>
      </c>
      <c r="AG69" s="91"/>
      <c r="AH69" s="87"/>
      <c r="AI69" s="87"/>
      <c r="AJ69" s="87"/>
      <c r="AK69" s="87"/>
      <c r="AL69" s="87"/>
      <c r="AM69" s="87"/>
      <c r="AN69" s="87"/>
      <c r="AO69" s="87"/>
      <c r="AP69" s="87"/>
      <c r="AQ69" s="87"/>
      <c r="AR69" s="87" t="str">
        <f t="shared" ref="AR69:AR113" si="33">IF(SUM($AH69:$AQ69)&lt;0,SUM($AH69:$AQ69),"")</f>
        <v/>
      </c>
      <c r="AS69" s="91"/>
      <c r="AT69" s="91"/>
    </row>
    <row r="70" spans="1:46" x14ac:dyDescent="0.25">
      <c r="A70" s="90">
        <v>54</v>
      </c>
      <c r="B70" s="90" t="str">
        <f t="shared" ca="1" si="25"/>
        <v/>
      </c>
      <c r="C70" s="83">
        <f ca="1">IF(B70="",0,COUNTIF($C$17:C69,"&gt;0")+1)</f>
        <v>0</v>
      </c>
      <c r="D70" s="84"/>
      <c r="E70" s="84"/>
      <c r="F70" s="84"/>
      <c r="G70" s="84"/>
      <c r="H70" s="84"/>
      <c r="I70" s="88" t="str">
        <f t="shared" ca="1" si="12"/>
        <v/>
      </c>
      <c r="J70" s="87" t="str">
        <f t="shared" ca="1" si="26"/>
        <v/>
      </c>
      <c r="K70" s="96"/>
      <c r="L70" s="83">
        <f ca="1">IF(J70="",0,COUNTIF(L$4:L69,"&gt;0")+MAX($Q$4:$Q$13)+1)</f>
        <v>0</v>
      </c>
      <c r="M70" s="84"/>
      <c r="N70" s="84"/>
      <c r="O70" s="84"/>
      <c r="P70" s="84"/>
      <c r="Q70" s="84"/>
      <c r="R70" s="83"/>
      <c r="S70" s="83" t="str">
        <f t="shared" ca="1" si="27"/>
        <v/>
      </c>
      <c r="T70" s="83" t="str">
        <f t="shared" ca="1" si="28"/>
        <v/>
      </c>
      <c r="U70" s="83" t="str">
        <f t="shared" ca="1" si="23"/>
        <v/>
      </c>
      <c r="V70" s="83"/>
      <c r="W70" s="83"/>
      <c r="X70" s="83" t="str">
        <f t="shared" ca="1" si="24"/>
        <v/>
      </c>
      <c r="Y70" s="83"/>
      <c r="Z70" s="101" t="str">
        <f t="shared" ca="1" si="29"/>
        <v/>
      </c>
      <c r="AA70" s="87" t="str">
        <f t="shared" ca="1" si="30"/>
        <v/>
      </c>
      <c r="AB70" s="95" t="str">
        <f t="shared" ca="1" si="31"/>
        <v/>
      </c>
      <c r="AC70" s="87"/>
      <c r="AD70" s="87"/>
      <c r="AE70" s="87"/>
      <c r="AF70" s="95" t="str">
        <f t="shared" ca="1" si="32"/>
        <v/>
      </c>
      <c r="AG70" s="91"/>
      <c r="AH70" s="87"/>
      <c r="AI70" s="87"/>
      <c r="AJ70" s="87"/>
      <c r="AK70" s="87"/>
      <c r="AL70" s="87"/>
      <c r="AM70" s="87"/>
      <c r="AN70" s="87"/>
      <c r="AO70" s="87"/>
      <c r="AP70" s="87"/>
      <c r="AQ70" s="87"/>
      <c r="AR70" s="87" t="str">
        <f t="shared" si="33"/>
        <v/>
      </c>
      <c r="AS70" s="91"/>
      <c r="AT70" s="91"/>
    </row>
    <row r="71" spans="1:46" x14ac:dyDescent="0.25">
      <c r="A71" s="90">
        <v>55</v>
      </c>
      <c r="B71" s="90" t="str">
        <f t="shared" ca="1" si="25"/>
        <v/>
      </c>
      <c r="C71" s="83">
        <f ca="1">IF(B71="",0,COUNTIF($C$17:C70,"&gt;0")+1)</f>
        <v>0</v>
      </c>
      <c r="D71" s="84"/>
      <c r="E71" s="84"/>
      <c r="F71" s="84"/>
      <c r="G71" s="84"/>
      <c r="H71" s="84"/>
      <c r="I71" s="88" t="str">
        <f t="shared" ca="1" si="12"/>
        <v/>
      </c>
      <c r="J71" s="87" t="str">
        <f t="shared" ca="1" si="26"/>
        <v/>
      </c>
      <c r="K71" s="96"/>
      <c r="L71" s="83">
        <f ca="1">IF(J71="",0,COUNTIF(L$4:L70,"&gt;0")+MAX($Q$4:$Q$13)+1)</f>
        <v>0</v>
      </c>
      <c r="M71" s="84"/>
      <c r="N71" s="84"/>
      <c r="O71" s="84"/>
      <c r="P71" s="84"/>
      <c r="Q71" s="84"/>
      <c r="R71" s="83"/>
      <c r="S71" s="83" t="str">
        <f t="shared" ca="1" si="27"/>
        <v/>
      </c>
      <c r="T71" s="83" t="str">
        <f t="shared" ca="1" si="28"/>
        <v/>
      </c>
      <c r="U71" s="83" t="str">
        <f t="shared" ca="1" si="23"/>
        <v/>
      </c>
      <c r="V71" s="83"/>
      <c r="W71" s="83"/>
      <c r="X71" s="83" t="str">
        <f t="shared" ca="1" si="24"/>
        <v/>
      </c>
      <c r="Y71" s="83"/>
      <c r="Z71" s="101" t="str">
        <f t="shared" ca="1" si="29"/>
        <v/>
      </c>
      <c r="AA71" s="87" t="str">
        <f t="shared" ca="1" si="30"/>
        <v/>
      </c>
      <c r="AB71" s="95" t="str">
        <f t="shared" ca="1" si="31"/>
        <v/>
      </c>
      <c r="AC71" s="87"/>
      <c r="AD71" s="87"/>
      <c r="AE71" s="87"/>
      <c r="AF71" s="95" t="str">
        <f t="shared" ca="1" si="32"/>
        <v/>
      </c>
      <c r="AG71" s="91"/>
      <c r="AH71" s="87"/>
      <c r="AI71" s="87"/>
      <c r="AJ71" s="87"/>
      <c r="AK71" s="87"/>
      <c r="AL71" s="87"/>
      <c r="AM71" s="87"/>
      <c r="AN71" s="87"/>
      <c r="AO71" s="87"/>
      <c r="AP71" s="87"/>
      <c r="AQ71" s="87"/>
      <c r="AR71" s="87" t="str">
        <f t="shared" si="33"/>
        <v/>
      </c>
      <c r="AS71" s="91"/>
      <c r="AT71" s="91"/>
    </row>
    <row r="72" spans="1:46" x14ac:dyDescent="0.25">
      <c r="A72" s="90">
        <v>56</v>
      </c>
      <c r="B72" s="90" t="str">
        <f t="shared" ca="1" si="25"/>
        <v/>
      </c>
      <c r="C72" s="83">
        <f ca="1">IF(B72="",0,COUNTIF($C$17:C71,"&gt;0")+1)</f>
        <v>0</v>
      </c>
      <c r="D72" s="84"/>
      <c r="E72" s="84"/>
      <c r="F72" s="84"/>
      <c r="G72" s="84"/>
      <c r="H72" s="84"/>
      <c r="I72" s="88" t="str">
        <f t="shared" ca="1" si="12"/>
        <v/>
      </c>
      <c r="J72" s="87" t="str">
        <f t="shared" ca="1" si="26"/>
        <v/>
      </c>
      <c r="K72" s="96"/>
      <c r="L72" s="83">
        <f ca="1">IF(J72="",0,COUNTIF(L$4:L71,"&gt;0")+MAX($Q$4:$Q$13)+1)</f>
        <v>0</v>
      </c>
      <c r="M72" s="84"/>
      <c r="N72" s="84"/>
      <c r="O72" s="84"/>
      <c r="P72" s="84"/>
      <c r="Q72" s="84"/>
      <c r="R72" s="83"/>
      <c r="S72" s="83" t="str">
        <f t="shared" ca="1" si="27"/>
        <v/>
      </c>
      <c r="T72" s="83" t="str">
        <f t="shared" ca="1" si="28"/>
        <v/>
      </c>
      <c r="U72" s="83" t="str">
        <f t="shared" ca="1" si="23"/>
        <v/>
      </c>
      <c r="V72" s="83"/>
      <c r="W72" s="83"/>
      <c r="X72" s="83" t="str">
        <f t="shared" ca="1" si="24"/>
        <v/>
      </c>
      <c r="Y72" s="83"/>
      <c r="Z72" s="101" t="str">
        <f t="shared" ca="1" si="29"/>
        <v/>
      </c>
      <c r="AA72" s="87" t="str">
        <f t="shared" ca="1" si="30"/>
        <v/>
      </c>
      <c r="AB72" s="95" t="str">
        <f t="shared" ca="1" si="31"/>
        <v/>
      </c>
      <c r="AC72" s="87"/>
      <c r="AD72" s="87"/>
      <c r="AE72" s="87"/>
      <c r="AF72" s="95" t="str">
        <f t="shared" ca="1" si="32"/>
        <v/>
      </c>
      <c r="AG72" s="91"/>
      <c r="AH72" s="87"/>
      <c r="AI72" s="87"/>
      <c r="AJ72" s="87"/>
      <c r="AK72" s="87"/>
      <c r="AL72" s="87"/>
      <c r="AM72" s="87"/>
      <c r="AN72" s="87"/>
      <c r="AO72" s="87"/>
      <c r="AP72" s="87"/>
      <c r="AQ72" s="87"/>
      <c r="AR72" s="87" t="str">
        <f t="shared" si="33"/>
        <v/>
      </c>
      <c r="AS72" s="91"/>
      <c r="AT72" s="91"/>
    </row>
    <row r="73" spans="1:46" x14ac:dyDescent="0.25">
      <c r="A73" s="90">
        <v>57</v>
      </c>
      <c r="B73" s="90" t="str">
        <f t="shared" ca="1" si="25"/>
        <v/>
      </c>
      <c r="C73" s="83">
        <f ca="1">IF(B73="",0,COUNTIF($C$17:C72,"&gt;0")+1)</f>
        <v>0</v>
      </c>
      <c r="D73" s="84"/>
      <c r="E73" s="84"/>
      <c r="F73" s="84"/>
      <c r="G73" s="84"/>
      <c r="H73" s="84"/>
      <c r="I73" s="88" t="str">
        <f t="shared" ca="1" si="12"/>
        <v/>
      </c>
      <c r="J73" s="87" t="str">
        <f t="shared" ca="1" si="26"/>
        <v/>
      </c>
      <c r="K73" s="96"/>
      <c r="L73" s="83">
        <f ca="1">IF(J73="",0,COUNTIF(L$4:L72,"&gt;0")+MAX($Q$4:$Q$13)+1)</f>
        <v>0</v>
      </c>
      <c r="M73" s="84"/>
      <c r="N73" s="84"/>
      <c r="O73" s="84"/>
      <c r="P73" s="84"/>
      <c r="Q73" s="84"/>
      <c r="R73" s="83"/>
      <c r="S73" s="83" t="str">
        <f t="shared" ca="1" si="27"/>
        <v/>
      </c>
      <c r="T73" s="83" t="str">
        <f t="shared" ca="1" si="28"/>
        <v/>
      </c>
      <c r="U73" s="83" t="str">
        <f t="shared" ca="1" si="23"/>
        <v/>
      </c>
      <c r="V73" s="83"/>
      <c r="W73" s="83"/>
      <c r="X73" s="83" t="str">
        <f t="shared" ca="1" si="24"/>
        <v/>
      </c>
      <c r="Y73" s="83"/>
      <c r="Z73" s="101" t="str">
        <f t="shared" ca="1" si="29"/>
        <v/>
      </c>
      <c r="AA73" s="87" t="str">
        <f t="shared" ca="1" si="30"/>
        <v/>
      </c>
      <c r="AB73" s="95" t="str">
        <f t="shared" ca="1" si="31"/>
        <v/>
      </c>
      <c r="AC73" s="87"/>
      <c r="AD73" s="87"/>
      <c r="AE73" s="87"/>
      <c r="AF73" s="95" t="str">
        <f t="shared" ca="1" si="32"/>
        <v/>
      </c>
      <c r="AG73" s="91"/>
      <c r="AH73" s="87"/>
      <c r="AI73" s="87"/>
      <c r="AJ73" s="87"/>
      <c r="AK73" s="87"/>
      <c r="AL73" s="87"/>
      <c r="AM73" s="87"/>
      <c r="AN73" s="87"/>
      <c r="AO73" s="87"/>
      <c r="AP73" s="87"/>
      <c r="AQ73" s="87"/>
      <c r="AR73" s="87" t="str">
        <f t="shared" si="33"/>
        <v/>
      </c>
      <c r="AS73" s="91"/>
      <c r="AT73" s="91"/>
    </row>
    <row r="74" spans="1:46" x14ac:dyDescent="0.25">
      <c r="A74" s="90">
        <v>58</v>
      </c>
      <c r="B74" s="90" t="str">
        <f t="shared" ca="1" si="25"/>
        <v/>
      </c>
      <c r="C74" s="83">
        <f ca="1">IF(B74="",0,COUNTIF($C$17:C73,"&gt;0")+1)</f>
        <v>0</v>
      </c>
      <c r="D74" s="84"/>
      <c r="E74" s="84"/>
      <c r="F74" s="84"/>
      <c r="G74" s="84"/>
      <c r="H74" s="84"/>
      <c r="I74" s="88" t="str">
        <f t="shared" ca="1" si="12"/>
        <v/>
      </c>
      <c r="J74" s="87" t="str">
        <f t="shared" ca="1" si="26"/>
        <v/>
      </c>
      <c r="K74" s="96"/>
      <c r="L74" s="83">
        <f ca="1">IF(J74="",0,COUNTIF(L$4:L73,"&gt;0")+MAX($Q$4:$Q$13)+1)</f>
        <v>0</v>
      </c>
      <c r="M74" s="84"/>
      <c r="N74" s="84"/>
      <c r="O74" s="84"/>
      <c r="P74" s="84"/>
      <c r="Q74" s="84"/>
      <c r="R74" s="83"/>
      <c r="S74" s="83" t="str">
        <f t="shared" ca="1" si="27"/>
        <v/>
      </c>
      <c r="T74" s="83" t="str">
        <f t="shared" ca="1" si="28"/>
        <v/>
      </c>
      <c r="U74" s="83" t="str">
        <f t="shared" ca="1" si="23"/>
        <v/>
      </c>
      <c r="V74" s="83"/>
      <c r="W74" s="83"/>
      <c r="X74" s="83" t="str">
        <f t="shared" ca="1" si="24"/>
        <v/>
      </c>
      <c r="Y74" s="83"/>
      <c r="Z74" s="101" t="str">
        <f t="shared" ca="1" si="29"/>
        <v/>
      </c>
      <c r="AA74" s="87" t="str">
        <f t="shared" ca="1" si="30"/>
        <v/>
      </c>
      <c r="AB74" s="95" t="str">
        <f t="shared" ca="1" si="31"/>
        <v/>
      </c>
      <c r="AC74" s="87"/>
      <c r="AD74" s="87"/>
      <c r="AE74" s="87"/>
      <c r="AF74" s="95" t="str">
        <f t="shared" ca="1" si="32"/>
        <v/>
      </c>
      <c r="AG74" s="91"/>
      <c r="AH74" s="87"/>
      <c r="AI74" s="87"/>
      <c r="AJ74" s="87"/>
      <c r="AK74" s="87"/>
      <c r="AL74" s="87"/>
      <c r="AM74" s="87"/>
      <c r="AN74" s="87"/>
      <c r="AO74" s="87"/>
      <c r="AP74" s="87"/>
      <c r="AQ74" s="87"/>
      <c r="AR74" s="87" t="str">
        <f t="shared" si="33"/>
        <v/>
      </c>
      <c r="AS74" s="91"/>
      <c r="AT74" s="91"/>
    </row>
    <row r="75" spans="1:46" x14ac:dyDescent="0.25">
      <c r="A75" s="90">
        <v>59</v>
      </c>
      <c r="B75" s="90" t="str">
        <f t="shared" ca="1" si="25"/>
        <v/>
      </c>
      <c r="C75" s="83">
        <f ca="1">IF(B75="",0,COUNTIF($C$17:C74,"&gt;0")+1)</f>
        <v>0</v>
      </c>
      <c r="D75" s="84"/>
      <c r="E75" s="84"/>
      <c r="F75" s="84"/>
      <c r="G75" s="84"/>
      <c r="H75" s="84"/>
      <c r="I75" s="88" t="str">
        <f t="shared" ca="1" si="12"/>
        <v/>
      </c>
      <c r="J75" s="87" t="str">
        <f t="shared" ca="1" si="26"/>
        <v/>
      </c>
      <c r="K75" s="96"/>
      <c r="L75" s="83">
        <f ca="1">IF(J75="",0,COUNTIF(L$4:L74,"&gt;0")+MAX($Q$4:$Q$13)+1)</f>
        <v>0</v>
      </c>
      <c r="M75" s="84"/>
      <c r="N75" s="84"/>
      <c r="O75" s="84"/>
      <c r="P75" s="84"/>
      <c r="Q75" s="84"/>
      <c r="R75" s="83"/>
      <c r="S75" s="83" t="str">
        <f t="shared" ca="1" si="27"/>
        <v/>
      </c>
      <c r="T75" s="83" t="str">
        <f t="shared" ca="1" si="28"/>
        <v/>
      </c>
      <c r="U75" s="83" t="str">
        <f t="shared" ca="1" si="23"/>
        <v/>
      </c>
      <c r="V75" s="83"/>
      <c r="W75" s="83"/>
      <c r="X75" s="83" t="str">
        <f t="shared" ca="1" si="24"/>
        <v/>
      </c>
      <c r="Y75" s="83"/>
      <c r="Z75" s="101" t="str">
        <f t="shared" ca="1" si="29"/>
        <v/>
      </c>
      <c r="AA75" s="87" t="str">
        <f t="shared" ca="1" si="30"/>
        <v/>
      </c>
      <c r="AB75" s="95" t="str">
        <f t="shared" ca="1" si="31"/>
        <v/>
      </c>
      <c r="AC75" s="87"/>
      <c r="AD75" s="87"/>
      <c r="AE75" s="87"/>
      <c r="AF75" s="95" t="str">
        <f t="shared" ca="1" si="32"/>
        <v/>
      </c>
      <c r="AG75" s="91"/>
      <c r="AH75" s="87"/>
      <c r="AI75" s="87"/>
      <c r="AJ75" s="87"/>
      <c r="AK75" s="87"/>
      <c r="AL75" s="87"/>
      <c r="AM75" s="87"/>
      <c r="AN75" s="87"/>
      <c r="AO75" s="87"/>
      <c r="AP75" s="87"/>
      <c r="AQ75" s="87"/>
      <c r="AR75" s="87" t="str">
        <f t="shared" si="33"/>
        <v/>
      </c>
      <c r="AS75" s="91"/>
      <c r="AT75" s="91"/>
    </row>
    <row r="76" spans="1:46" x14ac:dyDescent="0.25">
      <c r="A76" s="90">
        <v>60</v>
      </c>
      <c r="B76" s="90" t="str">
        <f t="shared" ca="1" si="25"/>
        <v/>
      </c>
      <c r="C76" s="83">
        <f ca="1">IF(B76="",0,COUNTIF($C$17:C75,"&gt;0")+1)</f>
        <v>0</v>
      </c>
      <c r="D76" s="84"/>
      <c r="E76" s="84"/>
      <c r="F76" s="84"/>
      <c r="G76" s="84"/>
      <c r="H76" s="84"/>
      <c r="I76" s="88" t="str">
        <f t="shared" ca="1" si="12"/>
        <v/>
      </c>
      <c r="J76" s="87" t="str">
        <f t="shared" ca="1" si="26"/>
        <v/>
      </c>
      <c r="K76" s="96"/>
      <c r="L76" s="83">
        <f ca="1">IF(J76="",0,COUNTIF(L$4:L75,"&gt;0")+MAX($Q$4:$Q$13)+1)</f>
        <v>0</v>
      </c>
      <c r="M76" s="84"/>
      <c r="N76" s="84"/>
      <c r="O76" s="84"/>
      <c r="P76" s="84"/>
      <c r="Q76" s="84"/>
      <c r="R76" s="83"/>
      <c r="S76" s="83" t="str">
        <f t="shared" ca="1" si="27"/>
        <v/>
      </c>
      <c r="T76" s="83" t="str">
        <f t="shared" ca="1" si="28"/>
        <v/>
      </c>
      <c r="U76" s="83" t="str">
        <f t="shared" ca="1" si="23"/>
        <v/>
      </c>
      <c r="V76" s="83"/>
      <c r="W76" s="83"/>
      <c r="X76" s="83" t="str">
        <f t="shared" ca="1" si="24"/>
        <v/>
      </c>
      <c r="Y76" s="83"/>
      <c r="Z76" s="101" t="str">
        <f t="shared" ca="1" si="29"/>
        <v/>
      </c>
      <c r="AA76" s="87" t="str">
        <f t="shared" ca="1" si="30"/>
        <v/>
      </c>
      <c r="AB76" s="95" t="str">
        <f t="shared" ca="1" si="31"/>
        <v/>
      </c>
      <c r="AC76" s="87"/>
      <c r="AD76" s="87"/>
      <c r="AE76" s="87"/>
      <c r="AF76" s="95" t="str">
        <f t="shared" ca="1" si="32"/>
        <v/>
      </c>
      <c r="AG76" s="91"/>
      <c r="AH76" s="87"/>
      <c r="AI76" s="87"/>
      <c r="AJ76" s="87"/>
      <c r="AK76" s="87"/>
      <c r="AL76" s="87"/>
      <c r="AM76" s="87"/>
      <c r="AN76" s="87"/>
      <c r="AO76" s="87"/>
      <c r="AP76" s="87"/>
      <c r="AQ76" s="87"/>
      <c r="AR76" s="87" t="str">
        <f t="shared" si="33"/>
        <v/>
      </c>
      <c r="AS76" s="91"/>
      <c r="AT76" s="91"/>
    </row>
    <row r="77" spans="1:46" x14ac:dyDescent="0.25">
      <c r="A77" s="88">
        <v>61</v>
      </c>
      <c r="B77" s="88" t="str">
        <f ca="1">IF(B10=0,"",B10)</f>
        <v/>
      </c>
      <c r="C77" s="83">
        <f ca="1">IF(B77="",0,COUNTIF($C$17:C76,"&gt;0")+1)</f>
        <v>0</v>
      </c>
      <c r="D77" s="84"/>
      <c r="E77" s="84"/>
      <c r="F77" s="84"/>
      <c r="G77" s="84"/>
      <c r="H77" s="84"/>
      <c r="I77" s="88" t="str">
        <f t="shared" ca="1" si="12"/>
        <v/>
      </c>
      <c r="J77" s="87" t="str">
        <f t="shared" ca="1" si="26"/>
        <v/>
      </c>
      <c r="K77" s="96"/>
      <c r="L77" s="83">
        <f ca="1">IF(J77="",0,COUNTIF(L$4:L76,"&gt;0")+MAX($Q$4:$Q$13)+1)</f>
        <v>0</v>
      </c>
      <c r="M77" s="84"/>
      <c r="N77" s="84"/>
      <c r="O77" s="84"/>
      <c r="P77" s="84"/>
      <c r="Q77" s="84"/>
      <c r="R77" s="83"/>
      <c r="S77" s="83" t="str">
        <f t="shared" ca="1" si="27"/>
        <v/>
      </c>
      <c r="T77" s="83" t="str">
        <f t="shared" ca="1" si="28"/>
        <v/>
      </c>
      <c r="U77" s="83" t="str">
        <f t="shared" ca="1" si="23"/>
        <v/>
      </c>
      <c r="V77" s="83"/>
      <c r="W77" s="83"/>
      <c r="X77" s="83" t="str">
        <f t="shared" ca="1" si="24"/>
        <v/>
      </c>
      <c r="Y77" s="83"/>
      <c r="Z77" s="101" t="str">
        <f t="shared" ca="1" si="29"/>
        <v/>
      </c>
      <c r="AA77" s="87" t="str">
        <f t="shared" ca="1" si="30"/>
        <v/>
      </c>
      <c r="AB77" s="95" t="str">
        <f t="shared" ca="1" si="31"/>
        <v/>
      </c>
      <c r="AC77" s="87"/>
      <c r="AD77" s="87"/>
      <c r="AE77" s="87"/>
      <c r="AF77" s="95" t="str">
        <f t="shared" ca="1" si="32"/>
        <v/>
      </c>
      <c r="AG77" s="91"/>
      <c r="AH77" s="87"/>
      <c r="AI77" s="87"/>
      <c r="AJ77" s="87"/>
      <c r="AK77" s="87"/>
      <c r="AL77" s="87"/>
      <c r="AM77" s="87"/>
      <c r="AN77" s="87"/>
      <c r="AO77" s="87"/>
      <c r="AP77" s="87"/>
      <c r="AQ77" s="87"/>
      <c r="AR77" s="87" t="str">
        <f t="shared" si="33"/>
        <v/>
      </c>
      <c r="AS77" s="91"/>
      <c r="AT77" s="91"/>
    </row>
    <row r="78" spans="1:46" x14ac:dyDescent="0.25">
      <c r="A78" s="88">
        <v>62</v>
      </c>
      <c r="B78" s="88" t="str">
        <f ca="1">IF($A18&lt;=$C$10,B77,"")</f>
        <v/>
      </c>
      <c r="C78" s="83">
        <f ca="1">IF(B78="",0,COUNTIF($C$17:C77,"&gt;0")+1)</f>
        <v>0</v>
      </c>
      <c r="D78" s="84"/>
      <c r="E78" s="84"/>
      <c r="F78" s="84"/>
      <c r="G78" s="84"/>
      <c r="H78" s="84"/>
      <c r="I78" s="88" t="str">
        <f t="shared" ca="1" si="12"/>
        <v/>
      </c>
      <c r="J78" s="87" t="str">
        <f t="shared" ca="1" si="26"/>
        <v/>
      </c>
      <c r="K78" s="96"/>
      <c r="L78" s="83">
        <f ca="1">IF(J78="",0,COUNTIF(L$4:L77,"&gt;0")+MAX($Q$4:$Q$13)+1)</f>
        <v>0</v>
      </c>
      <c r="M78" s="84"/>
      <c r="N78" s="84"/>
      <c r="O78" s="84"/>
      <c r="P78" s="84"/>
      <c r="Q78" s="84"/>
      <c r="R78" s="83"/>
      <c r="S78" s="83" t="str">
        <f t="shared" ca="1" si="27"/>
        <v/>
      </c>
      <c r="T78" s="83" t="str">
        <f t="shared" ca="1" si="28"/>
        <v/>
      </c>
      <c r="U78" s="83" t="str">
        <f t="shared" ca="1" si="23"/>
        <v/>
      </c>
      <c r="V78" s="83"/>
      <c r="W78" s="83"/>
      <c r="X78" s="83" t="str">
        <f t="shared" ca="1" si="24"/>
        <v/>
      </c>
      <c r="Y78" s="83"/>
      <c r="Z78" s="101" t="str">
        <f t="shared" ca="1" si="29"/>
        <v/>
      </c>
      <c r="AA78" s="87" t="str">
        <f t="shared" ca="1" si="30"/>
        <v/>
      </c>
      <c r="AB78" s="95" t="str">
        <f t="shared" ca="1" si="31"/>
        <v/>
      </c>
      <c r="AC78" s="87"/>
      <c r="AD78" s="87"/>
      <c r="AE78" s="87"/>
      <c r="AF78" s="95" t="str">
        <f t="shared" ca="1" si="32"/>
        <v/>
      </c>
      <c r="AG78" s="91"/>
      <c r="AH78" s="87"/>
      <c r="AI78" s="87"/>
      <c r="AJ78" s="87"/>
      <c r="AK78" s="87"/>
      <c r="AL78" s="87"/>
      <c r="AM78" s="87"/>
      <c r="AN78" s="87"/>
      <c r="AO78" s="87"/>
      <c r="AP78" s="87"/>
      <c r="AQ78" s="87"/>
      <c r="AR78" s="87" t="str">
        <f t="shared" si="33"/>
        <v/>
      </c>
      <c r="AS78" s="91"/>
      <c r="AT78" s="91"/>
    </row>
    <row r="79" spans="1:46" x14ac:dyDescent="0.25">
      <c r="A79" s="88">
        <v>63</v>
      </c>
      <c r="B79" s="88" t="str">
        <f t="shared" ref="B79:B86" ca="1" si="34">IF($A19&lt;=$C$10,B78,"")</f>
        <v/>
      </c>
      <c r="C79" s="83">
        <f ca="1">IF(B79="",0,COUNTIF($C$17:C78,"&gt;0")+1)</f>
        <v>0</v>
      </c>
      <c r="D79" s="84"/>
      <c r="E79" s="84"/>
      <c r="F79" s="84"/>
      <c r="G79" s="84"/>
      <c r="H79" s="84"/>
      <c r="I79" s="88" t="str">
        <f t="shared" ca="1" si="12"/>
        <v/>
      </c>
      <c r="J79" s="87" t="str">
        <f t="shared" ca="1" si="26"/>
        <v/>
      </c>
      <c r="K79" s="96"/>
      <c r="L79" s="83">
        <f ca="1">IF(J79="",0,COUNTIF(L$4:L78,"&gt;0")+MAX($Q$4:$Q$13)+1)</f>
        <v>0</v>
      </c>
      <c r="M79" s="84"/>
      <c r="N79" s="84"/>
      <c r="O79" s="84"/>
      <c r="P79" s="84"/>
      <c r="Q79" s="84"/>
      <c r="R79" s="83"/>
      <c r="S79" s="83" t="str">
        <f t="shared" ca="1" si="27"/>
        <v/>
      </c>
      <c r="T79" s="83" t="str">
        <f t="shared" ca="1" si="28"/>
        <v/>
      </c>
      <c r="U79" s="83" t="str">
        <f t="shared" ca="1" si="23"/>
        <v/>
      </c>
      <c r="V79" s="83"/>
      <c r="W79" s="83"/>
      <c r="X79" s="83" t="str">
        <f t="shared" ca="1" si="24"/>
        <v/>
      </c>
      <c r="Y79" s="83"/>
      <c r="Z79" s="101" t="str">
        <f t="shared" ca="1" si="29"/>
        <v/>
      </c>
      <c r="AA79" s="87" t="str">
        <f t="shared" ca="1" si="30"/>
        <v/>
      </c>
      <c r="AB79" s="95" t="str">
        <f t="shared" ca="1" si="31"/>
        <v/>
      </c>
      <c r="AC79" s="87"/>
      <c r="AD79" s="87"/>
      <c r="AE79" s="87"/>
      <c r="AF79" s="95" t="str">
        <f t="shared" ca="1" si="32"/>
        <v/>
      </c>
      <c r="AG79" s="91"/>
      <c r="AH79" s="87"/>
      <c r="AI79" s="87"/>
      <c r="AJ79" s="87"/>
      <c r="AK79" s="87"/>
      <c r="AL79" s="87"/>
      <c r="AM79" s="87"/>
      <c r="AN79" s="87"/>
      <c r="AO79" s="87"/>
      <c r="AP79" s="87"/>
      <c r="AQ79" s="87"/>
      <c r="AR79" s="87" t="str">
        <f t="shared" si="33"/>
        <v/>
      </c>
      <c r="AS79" s="91"/>
      <c r="AT79" s="91"/>
    </row>
    <row r="80" spans="1:46" x14ac:dyDescent="0.25">
      <c r="A80" s="88">
        <v>64</v>
      </c>
      <c r="B80" s="88" t="str">
        <f t="shared" ca="1" si="34"/>
        <v/>
      </c>
      <c r="C80" s="83">
        <f ca="1">IF(B80="",0,COUNTIF($C$17:C79,"&gt;0")+1)</f>
        <v>0</v>
      </c>
      <c r="D80" s="84"/>
      <c r="E80" s="84"/>
      <c r="F80" s="84"/>
      <c r="G80" s="84"/>
      <c r="H80" s="84"/>
      <c r="I80" s="88" t="str">
        <f t="shared" ca="1" si="12"/>
        <v/>
      </c>
      <c r="J80" s="87" t="str">
        <f t="shared" ca="1" si="26"/>
        <v/>
      </c>
      <c r="K80" s="96"/>
      <c r="L80" s="83">
        <f ca="1">IF(J80="",0,COUNTIF(L$4:L79,"&gt;0")+MAX($Q$4:$Q$13)+1)</f>
        <v>0</v>
      </c>
      <c r="M80" s="84"/>
      <c r="N80" s="84"/>
      <c r="O80" s="84"/>
      <c r="P80" s="84"/>
      <c r="Q80" s="84"/>
      <c r="R80" s="83"/>
      <c r="S80" s="83" t="str">
        <f t="shared" ca="1" si="27"/>
        <v/>
      </c>
      <c r="T80" s="83" t="str">
        <f t="shared" ca="1" si="28"/>
        <v/>
      </c>
      <c r="U80" s="83" t="str">
        <f t="shared" ca="1" si="23"/>
        <v/>
      </c>
      <c r="V80" s="83"/>
      <c r="W80" s="83"/>
      <c r="X80" s="83" t="str">
        <f t="shared" ca="1" si="24"/>
        <v/>
      </c>
      <c r="Y80" s="83"/>
      <c r="Z80" s="101" t="str">
        <f t="shared" ca="1" si="29"/>
        <v/>
      </c>
      <c r="AA80" s="87" t="str">
        <f t="shared" ca="1" si="30"/>
        <v/>
      </c>
      <c r="AB80" s="95" t="str">
        <f t="shared" ca="1" si="31"/>
        <v/>
      </c>
      <c r="AC80" s="87"/>
      <c r="AD80" s="87"/>
      <c r="AE80" s="87"/>
      <c r="AF80" s="95" t="str">
        <f t="shared" ca="1" si="32"/>
        <v/>
      </c>
      <c r="AG80" s="91"/>
      <c r="AH80" s="87"/>
      <c r="AI80" s="87"/>
      <c r="AJ80" s="87"/>
      <c r="AK80" s="87"/>
      <c r="AL80" s="87"/>
      <c r="AM80" s="87"/>
      <c r="AN80" s="87"/>
      <c r="AO80" s="87"/>
      <c r="AP80" s="87"/>
      <c r="AQ80" s="87"/>
      <c r="AR80" s="87" t="str">
        <f t="shared" si="33"/>
        <v/>
      </c>
      <c r="AS80" s="91"/>
      <c r="AT80" s="91"/>
    </row>
    <row r="81" spans="1:46" x14ac:dyDescent="0.25">
      <c r="A81" s="88">
        <v>65</v>
      </c>
      <c r="B81" s="88" t="str">
        <f t="shared" ca="1" si="34"/>
        <v/>
      </c>
      <c r="C81" s="83">
        <f ca="1">IF(B81="",0,COUNTIF($C$17:C80,"&gt;0")+1)</f>
        <v>0</v>
      </c>
      <c r="D81" s="84"/>
      <c r="E81" s="84"/>
      <c r="F81" s="84"/>
      <c r="G81" s="84"/>
      <c r="H81" s="84"/>
      <c r="I81" s="88" t="str">
        <f t="shared" ca="1" si="12"/>
        <v/>
      </c>
      <c r="J81" s="87" t="str">
        <f t="shared" ca="1" si="26"/>
        <v/>
      </c>
      <c r="K81" s="96"/>
      <c r="L81" s="83">
        <f ca="1">IF(J81="",0,COUNTIF(L$4:L80,"&gt;0")+MAX($Q$4:$Q$13)+1)</f>
        <v>0</v>
      </c>
      <c r="M81" s="84"/>
      <c r="N81" s="84"/>
      <c r="O81" s="84"/>
      <c r="P81" s="84"/>
      <c r="Q81" s="84"/>
      <c r="R81" s="83"/>
      <c r="S81" s="83" t="str">
        <f t="shared" ca="1" si="27"/>
        <v/>
      </c>
      <c r="T81" s="83" t="str">
        <f t="shared" ca="1" si="28"/>
        <v/>
      </c>
      <c r="U81" s="83" t="str">
        <f t="shared" ca="1" si="23"/>
        <v/>
      </c>
      <c r="V81" s="83"/>
      <c r="W81" s="83"/>
      <c r="X81" s="83" t="str">
        <f t="shared" ca="1" si="24"/>
        <v/>
      </c>
      <c r="Y81" s="83"/>
      <c r="Z81" s="101" t="str">
        <f t="shared" ca="1" si="29"/>
        <v/>
      </c>
      <c r="AA81" s="87" t="str">
        <f t="shared" ca="1" si="30"/>
        <v/>
      </c>
      <c r="AB81" s="95" t="str">
        <f t="shared" ca="1" si="31"/>
        <v/>
      </c>
      <c r="AC81" s="87"/>
      <c r="AD81" s="87"/>
      <c r="AE81" s="87"/>
      <c r="AF81" s="95" t="str">
        <f t="shared" ca="1" si="32"/>
        <v/>
      </c>
      <c r="AG81" s="91"/>
      <c r="AH81" s="87"/>
      <c r="AI81" s="87"/>
      <c r="AJ81" s="87"/>
      <c r="AK81" s="87"/>
      <c r="AL81" s="87"/>
      <c r="AM81" s="87"/>
      <c r="AN81" s="87"/>
      <c r="AO81" s="87"/>
      <c r="AP81" s="87"/>
      <c r="AQ81" s="87"/>
      <c r="AR81" s="87" t="str">
        <f t="shared" si="33"/>
        <v/>
      </c>
      <c r="AS81" s="91"/>
      <c r="AT81" s="91"/>
    </row>
    <row r="82" spans="1:46" x14ac:dyDescent="0.25">
      <c r="A82" s="88">
        <v>66</v>
      </c>
      <c r="B82" s="88" t="str">
        <f t="shared" ca="1" si="34"/>
        <v/>
      </c>
      <c r="C82" s="83">
        <f ca="1">IF(B82="",0,COUNTIF($C$17:C81,"&gt;0")+1)</f>
        <v>0</v>
      </c>
      <c r="D82" s="84"/>
      <c r="E82" s="84"/>
      <c r="F82" s="84"/>
      <c r="G82" s="84"/>
      <c r="H82" s="84"/>
      <c r="I82" s="88" t="str">
        <f t="shared" ca="1" si="12"/>
        <v/>
      </c>
      <c r="J82" s="87" t="str">
        <f t="shared" ca="1" si="26"/>
        <v/>
      </c>
      <c r="K82" s="96"/>
      <c r="L82" s="83">
        <f ca="1">IF(J82="",0,COUNTIF(L$4:L81,"&gt;0")+MAX($Q$4:$Q$13)+1)</f>
        <v>0</v>
      </c>
      <c r="M82" s="84"/>
      <c r="N82" s="84"/>
      <c r="O82" s="84"/>
      <c r="P82" s="84"/>
      <c r="Q82" s="84"/>
      <c r="R82" s="83"/>
      <c r="S82" s="83" t="str">
        <f t="shared" ca="1" si="27"/>
        <v/>
      </c>
      <c r="T82" s="83" t="str">
        <f t="shared" ca="1" si="28"/>
        <v/>
      </c>
      <c r="U82" s="83" t="str">
        <f t="shared" ca="1" si="23"/>
        <v/>
      </c>
      <c r="V82" s="83"/>
      <c r="W82" s="83"/>
      <c r="X82" s="83" t="str">
        <f t="shared" ca="1" si="24"/>
        <v/>
      </c>
      <c r="Y82" s="83"/>
      <c r="Z82" s="101" t="str">
        <f t="shared" ca="1" si="29"/>
        <v/>
      </c>
      <c r="AA82" s="87" t="str">
        <f t="shared" ca="1" si="30"/>
        <v/>
      </c>
      <c r="AB82" s="95" t="str">
        <f t="shared" ca="1" si="31"/>
        <v/>
      </c>
      <c r="AC82" s="87"/>
      <c r="AD82" s="87"/>
      <c r="AE82" s="87"/>
      <c r="AF82" s="95" t="str">
        <f t="shared" ca="1" si="32"/>
        <v/>
      </c>
      <c r="AG82" s="91"/>
      <c r="AH82" s="87"/>
      <c r="AI82" s="87"/>
      <c r="AJ82" s="87"/>
      <c r="AK82" s="87"/>
      <c r="AL82" s="87"/>
      <c r="AM82" s="87"/>
      <c r="AN82" s="87"/>
      <c r="AO82" s="87"/>
      <c r="AP82" s="87"/>
      <c r="AQ82" s="87"/>
      <c r="AR82" s="87" t="str">
        <f t="shared" si="33"/>
        <v/>
      </c>
      <c r="AS82" s="91"/>
      <c r="AT82" s="91"/>
    </row>
    <row r="83" spans="1:46" x14ac:dyDescent="0.25">
      <c r="A83" s="88">
        <v>67</v>
      </c>
      <c r="B83" s="88" t="str">
        <f t="shared" ca="1" si="34"/>
        <v/>
      </c>
      <c r="C83" s="83">
        <f ca="1">IF(B83="",0,COUNTIF($C$17:C82,"&gt;0")+1)</f>
        <v>0</v>
      </c>
      <c r="D83" s="84"/>
      <c r="E83" s="84"/>
      <c r="F83" s="84"/>
      <c r="G83" s="84"/>
      <c r="H83" s="84"/>
      <c r="I83" s="88" t="str">
        <f t="shared" ref="I83:I103" ca="1" si="35">IFERROR(IF(I82+1&lt;=$C$2,I82+1,""),"")</f>
        <v/>
      </c>
      <c r="J83" s="87" t="str">
        <f t="shared" ca="1" si="26"/>
        <v/>
      </c>
      <c r="K83" s="96"/>
      <c r="L83" s="83">
        <f ca="1">IF(J83="",0,COUNTIF(L$4:L82,"&gt;0")+MAX($Q$4:$Q$13)+1)</f>
        <v>0</v>
      </c>
      <c r="M83" s="84"/>
      <c r="N83" s="84"/>
      <c r="O83" s="84"/>
      <c r="P83" s="84"/>
      <c r="Q83" s="84"/>
      <c r="R83" s="83"/>
      <c r="S83" s="83" t="str">
        <f t="shared" ca="1" si="27"/>
        <v/>
      </c>
      <c r="T83" s="83" t="str">
        <f t="shared" ca="1" si="28"/>
        <v/>
      </c>
      <c r="U83" s="83" t="str">
        <f t="shared" ca="1" si="23"/>
        <v/>
      </c>
      <c r="V83" s="83"/>
      <c r="W83" s="83"/>
      <c r="X83" s="83" t="str">
        <f t="shared" ca="1" si="24"/>
        <v/>
      </c>
      <c r="Y83" s="83"/>
      <c r="Z83" s="101" t="str">
        <f t="shared" ca="1" si="29"/>
        <v/>
      </c>
      <c r="AA83" s="87" t="str">
        <f t="shared" ca="1" si="30"/>
        <v/>
      </c>
      <c r="AB83" s="95" t="str">
        <f t="shared" ca="1" si="31"/>
        <v/>
      </c>
      <c r="AC83" s="87"/>
      <c r="AD83" s="87"/>
      <c r="AE83" s="87"/>
      <c r="AF83" s="95" t="str">
        <f t="shared" ca="1" si="32"/>
        <v/>
      </c>
      <c r="AG83" s="91"/>
      <c r="AH83" s="87"/>
      <c r="AI83" s="87"/>
      <c r="AJ83" s="87"/>
      <c r="AK83" s="87"/>
      <c r="AL83" s="87"/>
      <c r="AM83" s="87"/>
      <c r="AN83" s="87"/>
      <c r="AO83" s="87"/>
      <c r="AP83" s="87"/>
      <c r="AQ83" s="87"/>
      <c r="AR83" s="87" t="str">
        <f t="shared" si="33"/>
        <v/>
      </c>
      <c r="AS83" s="91"/>
      <c r="AT83" s="91"/>
    </row>
    <row r="84" spans="1:46" x14ac:dyDescent="0.25">
      <c r="A84" s="88">
        <v>68</v>
      </c>
      <c r="B84" s="88" t="str">
        <f t="shared" ca="1" si="34"/>
        <v/>
      </c>
      <c r="C84" s="83">
        <f ca="1">IF(B84="",0,COUNTIF($C$17:C83,"&gt;0")+1)</f>
        <v>0</v>
      </c>
      <c r="D84" s="84"/>
      <c r="E84" s="84"/>
      <c r="F84" s="84"/>
      <c r="G84" s="84"/>
      <c r="H84" s="84"/>
      <c r="I84" s="88" t="str">
        <f t="shared" ca="1" si="35"/>
        <v/>
      </c>
      <c r="J84" s="87" t="str">
        <f t="shared" ca="1" si="26"/>
        <v/>
      </c>
      <c r="K84" s="96"/>
      <c r="L84" s="83">
        <f ca="1">IF(J84="",0,COUNTIF(L$4:L83,"&gt;0")+MAX($Q$4:$Q$13)+1)</f>
        <v>0</v>
      </c>
      <c r="M84" s="84"/>
      <c r="N84" s="84"/>
      <c r="O84" s="84"/>
      <c r="P84" s="84"/>
      <c r="Q84" s="84"/>
      <c r="R84" s="83"/>
      <c r="S84" s="83" t="str">
        <f t="shared" ca="1" si="27"/>
        <v/>
      </c>
      <c r="T84" s="83" t="str">
        <f t="shared" ca="1" si="28"/>
        <v/>
      </c>
      <c r="U84" s="83" t="str">
        <f t="shared" ca="1" si="23"/>
        <v/>
      </c>
      <c r="V84" s="83"/>
      <c r="W84" s="83"/>
      <c r="X84" s="83" t="str">
        <f t="shared" ca="1" si="24"/>
        <v/>
      </c>
      <c r="Y84" s="83"/>
      <c r="Z84" s="101" t="str">
        <f t="shared" ca="1" si="29"/>
        <v/>
      </c>
      <c r="AA84" s="87" t="str">
        <f t="shared" ca="1" si="30"/>
        <v/>
      </c>
      <c r="AB84" s="95" t="str">
        <f t="shared" ca="1" si="31"/>
        <v/>
      </c>
      <c r="AC84" s="87"/>
      <c r="AD84" s="87"/>
      <c r="AE84" s="87"/>
      <c r="AF84" s="95" t="str">
        <f t="shared" ca="1" si="32"/>
        <v/>
      </c>
      <c r="AG84" s="91"/>
      <c r="AH84" s="87"/>
      <c r="AI84" s="87"/>
      <c r="AJ84" s="87"/>
      <c r="AK84" s="87"/>
      <c r="AL84" s="87"/>
      <c r="AM84" s="87"/>
      <c r="AN84" s="87"/>
      <c r="AO84" s="87"/>
      <c r="AP84" s="87"/>
      <c r="AQ84" s="87"/>
      <c r="AR84" s="87" t="str">
        <f t="shared" si="33"/>
        <v/>
      </c>
      <c r="AS84" s="91"/>
      <c r="AT84" s="91"/>
    </row>
    <row r="85" spans="1:46" x14ac:dyDescent="0.25">
      <c r="A85" s="88">
        <v>69</v>
      </c>
      <c r="B85" s="88" t="str">
        <f t="shared" ca="1" si="34"/>
        <v/>
      </c>
      <c r="C85" s="83">
        <f ca="1">IF(B85="",0,COUNTIF($C$17:C84,"&gt;0")+1)</f>
        <v>0</v>
      </c>
      <c r="D85" s="84"/>
      <c r="E85" s="84"/>
      <c r="F85" s="84"/>
      <c r="G85" s="84"/>
      <c r="H85" s="84"/>
      <c r="I85" s="88" t="str">
        <f t="shared" ca="1" si="35"/>
        <v/>
      </c>
      <c r="J85" s="87" t="str">
        <f t="shared" ca="1" si="26"/>
        <v/>
      </c>
      <c r="K85" s="96"/>
      <c r="L85" s="83">
        <f ca="1">IF(J85="",0,COUNTIF(L$4:L84,"&gt;0")+MAX($Q$4:$Q$13)+1)</f>
        <v>0</v>
      </c>
      <c r="M85" s="84"/>
      <c r="N85" s="84"/>
      <c r="O85" s="84"/>
      <c r="P85" s="84"/>
      <c r="Q85" s="84"/>
      <c r="R85" s="83"/>
      <c r="S85" s="83" t="str">
        <f t="shared" ca="1" si="27"/>
        <v/>
      </c>
      <c r="T85" s="83" t="str">
        <f t="shared" ca="1" si="28"/>
        <v/>
      </c>
      <c r="U85" s="83" t="str">
        <f t="shared" ca="1" si="23"/>
        <v/>
      </c>
      <c r="V85" s="83"/>
      <c r="W85" s="83"/>
      <c r="X85" s="83" t="str">
        <f t="shared" ca="1" si="24"/>
        <v/>
      </c>
      <c r="Y85" s="83"/>
      <c r="Z85" s="101" t="str">
        <f t="shared" ca="1" si="29"/>
        <v/>
      </c>
      <c r="AA85" s="87" t="str">
        <f t="shared" ca="1" si="30"/>
        <v/>
      </c>
      <c r="AB85" s="95" t="str">
        <f t="shared" ca="1" si="31"/>
        <v/>
      </c>
      <c r="AC85" s="87"/>
      <c r="AD85" s="87"/>
      <c r="AE85" s="87"/>
      <c r="AF85" s="95" t="str">
        <f t="shared" ca="1" si="32"/>
        <v/>
      </c>
      <c r="AG85" s="91"/>
      <c r="AH85" s="87"/>
      <c r="AI85" s="87"/>
      <c r="AJ85" s="87"/>
      <c r="AK85" s="87"/>
      <c r="AL85" s="87"/>
      <c r="AM85" s="87"/>
      <c r="AN85" s="87"/>
      <c r="AO85" s="87"/>
      <c r="AP85" s="87"/>
      <c r="AQ85" s="87"/>
      <c r="AR85" s="87" t="str">
        <f t="shared" si="33"/>
        <v/>
      </c>
      <c r="AS85" s="91"/>
      <c r="AT85" s="91"/>
    </row>
    <row r="86" spans="1:46" x14ac:dyDescent="0.25">
      <c r="A86" s="88">
        <v>70</v>
      </c>
      <c r="B86" s="88" t="str">
        <f t="shared" ca="1" si="34"/>
        <v/>
      </c>
      <c r="C86" s="83">
        <f ca="1">IF(B86="",0,COUNTIF($C$17:C85,"&gt;0")+1)</f>
        <v>0</v>
      </c>
      <c r="D86" s="84"/>
      <c r="E86" s="84"/>
      <c r="F86" s="84"/>
      <c r="G86" s="84"/>
      <c r="H86" s="84"/>
      <c r="I86" s="88" t="str">
        <f t="shared" ca="1" si="35"/>
        <v/>
      </c>
      <c r="J86" s="87" t="str">
        <f t="shared" ca="1" si="26"/>
        <v/>
      </c>
      <c r="K86" s="96"/>
      <c r="L86" s="83">
        <f ca="1">IF(J86="",0,COUNTIF(L$4:L85,"&gt;0")+MAX($Q$4:$Q$13)+1)</f>
        <v>0</v>
      </c>
      <c r="M86" s="84"/>
      <c r="N86" s="84"/>
      <c r="O86" s="84"/>
      <c r="P86" s="84"/>
      <c r="Q86" s="84"/>
      <c r="R86" s="83"/>
      <c r="S86" s="83" t="str">
        <f t="shared" ca="1" si="27"/>
        <v/>
      </c>
      <c r="T86" s="83" t="str">
        <f t="shared" ca="1" si="28"/>
        <v/>
      </c>
      <c r="U86" s="83" t="str">
        <f t="shared" ca="1" si="23"/>
        <v/>
      </c>
      <c r="V86" s="83"/>
      <c r="W86" s="83"/>
      <c r="X86" s="83" t="str">
        <f t="shared" ca="1" si="24"/>
        <v/>
      </c>
      <c r="Y86" s="83"/>
      <c r="Z86" s="101" t="str">
        <f t="shared" ca="1" si="29"/>
        <v/>
      </c>
      <c r="AA86" s="87" t="str">
        <f t="shared" ca="1" si="30"/>
        <v/>
      </c>
      <c r="AB86" s="95" t="str">
        <f t="shared" ca="1" si="31"/>
        <v/>
      </c>
      <c r="AC86" s="87"/>
      <c r="AD86" s="87"/>
      <c r="AE86" s="87"/>
      <c r="AF86" s="95" t="str">
        <f t="shared" ca="1" si="32"/>
        <v/>
      </c>
      <c r="AG86" s="91"/>
      <c r="AH86" s="87"/>
      <c r="AI86" s="87"/>
      <c r="AJ86" s="87"/>
      <c r="AK86" s="87"/>
      <c r="AL86" s="87"/>
      <c r="AM86" s="87"/>
      <c r="AN86" s="87"/>
      <c r="AO86" s="87"/>
      <c r="AP86" s="87"/>
      <c r="AQ86" s="87"/>
      <c r="AR86" s="87" t="str">
        <f t="shared" si="33"/>
        <v/>
      </c>
      <c r="AS86" s="91"/>
      <c r="AT86" s="91"/>
    </row>
    <row r="87" spans="1:46" x14ac:dyDescent="0.25">
      <c r="A87" s="90">
        <v>71</v>
      </c>
      <c r="B87" s="90" t="str">
        <f ca="1">IF(B11=0,"",B11)</f>
        <v/>
      </c>
      <c r="C87" s="83">
        <f ca="1">IF(B87="",0,COUNTIF($C$17:C86,"&gt;0")+1)</f>
        <v>0</v>
      </c>
      <c r="D87" s="84"/>
      <c r="E87" s="84"/>
      <c r="F87" s="84"/>
      <c r="G87" s="84"/>
      <c r="H87" s="84"/>
      <c r="I87" s="88" t="str">
        <f t="shared" ca="1" si="35"/>
        <v/>
      </c>
      <c r="J87" s="87" t="str">
        <f t="shared" ca="1" si="26"/>
        <v/>
      </c>
      <c r="K87" s="96"/>
      <c r="L87" s="83">
        <f ca="1">IF(J87="",0,COUNTIF(L$4:L86,"&gt;0")+MAX($Q$4:$Q$13)+1)</f>
        <v>0</v>
      </c>
      <c r="M87" s="84"/>
      <c r="N87" s="84"/>
      <c r="O87" s="84"/>
      <c r="P87" s="84"/>
      <c r="Q87" s="84"/>
      <c r="R87" s="83"/>
      <c r="S87" s="83" t="str">
        <f t="shared" ca="1" si="27"/>
        <v/>
      </c>
      <c r="T87" s="83" t="str">
        <f t="shared" ca="1" si="28"/>
        <v/>
      </c>
      <c r="U87" s="83" t="str">
        <f t="shared" ca="1" si="23"/>
        <v/>
      </c>
      <c r="V87" s="83"/>
      <c r="W87" s="83"/>
      <c r="X87" s="83" t="str">
        <f t="shared" ca="1" si="24"/>
        <v/>
      </c>
      <c r="Y87" s="83"/>
      <c r="Z87" s="101" t="str">
        <f t="shared" ca="1" si="29"/>
        <v/>
      </c>
      <c r="AA87" s="87" t="str">
        <f t="shared" ca="1" si="30"/>
        <v/>
      </c>
      <c r="AB87" s="95" t="str">
        <f t="shared" ca="1" si="31"/>
        <v/>
      </c>
      <c r="AC87" s="87"/>
      <c r="AD87" s="87"/>
      <c r="AE87" s="87"/>
      <c r="AF87" s="95" t="str">
        <f t="shared" ca="1" si="32"/>
        <v/>
      </c>
      <c r="AG87" s="91"/>
      <c r="AH87" s="87"/>
      <c r="AI87" s="87"/>
      <c r="AJ87" s="87"/>
      <c r="AK87" s="87"/>
      <c r="AL87" s="87"/>
      <c r="AM87" s="87"/>
      <c r="AN87" s="87"/>
      <c r="AO87" s="87"/>
      <c r="AP87" s="87"/>
      <c r="AQ87" s="87"/>
      <c r="AR87" s="87" t="str">
        <f t="shared" si="33"/>
        <v/>
      </c>
      <c r="AS87" s="91"/>
      <c r="AT87" s="91"/>
    </row>
    <row r="88" spans="1:46" x14ac:dyDescent="0.25">
      <c r="A88" s="90">
        <v>72</v>
      </c>
      <c r="B88" s="90" t="str">
        <f ca="1">IF($A18&lt;=$C$11,B87,"")</f>
        <v/>
      </c>
      <c r="C88" s="83">
        <f ca="1">IF(B88="",0,COUNTIF($C$17:C87,"&gt;0")+1)</f>
        <v>0</v>
      </c>
      <c r="D88" s="84"/>
      <c r="E88" s="84"/>
      <c r="F88" s="84"/>
      <c r="G88" s="84"/>
      <c r="H88" s="84"/>
      <c r="I88" s="88" t="str">
        <f t="shared" ca="1" si="35"/>
        <v/>
      </c>
      <c r="J88" s="87" t="str">
        <f t="shared" ca="1" si="26"/>
        <v/>
      </c>
      <c r="K88" s="96"/>
      <c r="L88" s="83">
        <f ca="1">IF(J88="",0,COUNTIF(L$4:L87,"&gt;0")+MAX($Q$4:$Q$13)+1)</f>
        <v>0</v>
      </c>
      <c r="M88" s="84"/>
      <c r="N88" s="84"/>
      <c r="O88" s="84"/>
      <c r="P88" s="84"/>
      <c r="Q88" s="84"/>
      <c r="R88" s="83"/>
      <c r="S88" s="83" t="str">
        <f t="shared" ca="1" si="27"/>
        <v/>
      </c>
      <c r="T88" s="83" t="str">
        <f t="shared" ca="1" si="28"/>
        <v/>
      </c>
      <c r="U88" s="83" t="str">
        <f t="shared" ca="1" si="23"/>
        <v/>
      </c>
      <c r="V88" s="83"/>
      <c r="W88" s="83"/>
      <c r="X88" s="83" t="str">
        <f t="shared" ca="1" si="24"/>
        <v/>
      </c>
      <c r="Y88" s="83"/>
      <c r="Z88" s="101" t="str">
        <f t="shared" ca="1" si="29"/>
        <v/>
      </c>
      <c r="AA88" s="87" t="str">
        <f t="shared" ca="1" si="30"/>
        <v/>
      </c>
      <c r="AB88" s="95" t="str">
        <f t="shared" ca="1" si="31"/>
        <v/>
      </c>
      <c r="AC88" s="87"/>
      <c r="AD88" s="87"/>
      <c r="AE88" s="87"/>
      <c r="AF88" s="95" t="str">
        <f t="shared" ca="1" si="32"/>
        <v/>
      </c>
      <c r="AG88" s="91"/>
      <c r="AH88" s="87"/>
      <c r="AI88" s="87"/>
      <c r="AJ88" s="87"/>
      <c r="AK88" s="87"/>
      <c r="AL88" s="87"/>
      <c r="AM88" s="87"/>
      <c r="AN88" s="87"/>
      <c r="AO88" s="87"/>
      <c r="AP88" s="87"/>
      <c r="AQ88" s="87"/>
      <c r="AR88" s="87" t="str">
        <f t="shared" si="33"/>
        <v/>
      </c>
      <c r="AS88" s="91"/>
      <c r="AT88" s="91"/>
    </row>
    <row r="89" spans="1:46" x14ac:dyDescent="0.25">
      <c r="A89" s="90">
        <v>73</v>
      </c>
      <c r="B89" s="90" t="str">
        <f t="shared" ref="B89:B96" ca="1" si="36">IF($A19&lt;=$C$11,B88,"")</f>
        <v/>
      </c>
      <c r="C89" s="83">
        <f ca="1">IF(B89="",0,COUNTIF($C$17:C88,"&gt;0")+1)</f>
        <v>0</v>
      </c>
      <c r="D89" s="84"/>
      <c r="E89" s="84"/>
      <c r="F89" s="84"/>
      <c r="G89" s="84"/>
      <c r="H89" s="84"/>
      <c r="I89" s="88" t="str">
        <f t="shared" ca="1" si="35"/>
        <v/>
      </c>
      <c r="J89" s="87" t="str">
        <f t="shared" ca="1" si="26"/>
        <v/>
      </c>
      <c r="K89" s="96"/>
      <c r="L89" s="83">
        <f ca="1">IF(J89="",0,COUNTIF(L$4:L88,"&gt;0")+MAX($Q$4:$Q$13)+1)</f>
        <v>0</v>
      </c>
      <c r="M89" s="84"/>
      <c r="N89" s="84"/>
      <c r="O89" s="84"/>
      <c r="P89" s="84"/>
      <c r="Q89" s="84"/>
      <c r="R89" s="83"/>
      <c r="S89" s="83" t="str">
        <f t="shared" ca="1" si="27"/>
        <v/>
      </c>
      <c r="T89" s="83" t="str">
        <f t="shared" ca="1" si="28"/>
        <v/>
      </c>
      <c r="U89" s="83" t="str">
        <f t="shared" ca="1" si="23"/>
        <v/>
      </c>
      <c r="V89" s="83"/>
      <c r="W89" s="83"/>
      <c r="X89" s="83" t="str">
        <f t="shared" ca="1" si="24"/>
        <v/>
      </c>
      <c r="Y89" s="83"/>
      <c r="Z89" s="101" t="str">
        <f t="shared" ca="1" si="29"/>
        <v/>
      </c>
      <c r="AA89" s="87" t="str">
        <f t="shared" ca="1" si="30"/>
        <v/>
      </c>
      <c r="AB89" s="95" t="str">
        <f t="shared" ca="1" si="31"/>
        <v/>
      </c>
      <c r="AC89" s="87"/>
      <c r="AD89" s="87"/>
      <c r="AE89" s="87"/>
      <c r="AF89" s="95" t="str">
        <f t="shared" ca="1" si="32"/>
        <v/>
      </c>
      <c r="AG89" s="91"/>
      <c r="AH89" s="87"/>
      <c r="AI89" s="87"/>
      <c r="AJ89" s="87"/>
      <c r="AK89" s="87"/>
      <c r="AL89" s="87"/>
      <c r="AM89" s="87"/>
      <c r="AN89" s="87"/>
      <c r="AO89" s="87"/>
      <c r="AP89" s="87"/>
      <c r="AQ89" s="87"/>
      <c r="AR89" s="87" t="str">
        <f t="shared" si="33"/>
        <v/>
      </c>
      <c r="AS89" s="91"/>
      <c r="AT89" s="91"/>
    </row>
    <row r="90" spans="1:46" x14ac:dyDescent="0.25">
      <c r="A90" s="90">
        <v>74</v>
      </c>
      <c r="B90" s="90" t="str">
        <f t="shared" ca="1" si="36"/>
        <v/>
      </c>
      <c r="C90" s="83">
        <f ca="1">IF(B90="",0,COUNTIF($C$17:C89,"&gt;0")+1)</f>
        <v>0</v>
      </c>
      <c r="D90" s="84"/>
      <c r="E90" s="84"/>
      <c r="F90" s="84"/>
      <c r="G90" s="84"/>
      <c r="H90" s="84"/>
      <c r="I90" s="88" t="str">
        <f t="shared" ca="1" si="35"/>
        <v/>
      </c>
      <c r="J90" s="87" t="str">
        <f t="shared" ca="1" si="26"/>
        <v/>
      </c>
      <c r="K90" s="96"/>
      <c r="L90" s="83">
        <f ca="1">IF(J90="",0,COUNTIF(L$4:L89,"&gt;0")+MAX($Q$4:$Q$13)+1)</f>
        <v>0</v>
      </c>
      <c r="M90" s="84"/>
      <c r="N90" s="84"/>
      <c r="O90" s="84"/>
      <c r="P90" s="84"/>
      <c r="Q90" s="84"/>
      <c r="R90" s="83"/>
      <c r="S90" s="83" t="str">
        <f t="shared" ca="1" si="27"/>
        <v/>
      </c>
      <c r="T90" s="83" t="str">
        <f t="shared" ca="1" si="28"/>
        <v/>
      </c>
      <c r="U90" s="83" t="str">
        <f t="shared" ca="1" si="23"/>
        <v/>
      </c>
      <c r="V90" s="83"/>
      <c r="W90" s="83"/>
      <c r="X90" s="83" t="str">
        <f t="shared" ca="1" si="24"/>
        <v/>
      </c>
      <c r="Y90" s="83"/>
      <c r="Z90" s="101" t="str">
        <f t="shared" ca="1" si="29"/>
        <v/>
      </c>
      <c r="AA90" s="87" t="str">
        <f t="shared" ca="1" si="30"/>
        <v/>
      </c>
      <c r="AB90" s="95" t="str">
        <f t="shared" ca="1" si="31"/>
        <v/>
      </c>
      <c r="AC90" s="87"/>
      <c r="AD90" s="87"/>
      <c r="AE90" s="87"/>
      <c r="AF90" s="95" t="str">
        <f t="shared" ca="1" si="32"/>
        <v/>
      </c>
      <c r="AG90" s="91"/>
      <c r="AH90" s="87"/>
      <c r="AI90" s="87"/>
      <c r="AJ90" s="87"/>
      <c r="AK90" s="87"/>
      <c r="AL90" s="87"/>
      <c r="AM90" s="87"/>
      <c r="AN90" s="87"/>
      <c r="AO90" s="87"/>
      <c r="AP90" s="87"/>
      <c r="AQ90" s="87"/>
      <c r="AR90" s="87" t="str">
        <f t="shared" si="33"/>
        <v/>
      </c>
      <c r="AS90" s="91"/>
      <c r="AT90" s="91"/>
    </row>
    <row r="91" spans="1:46" x14ac:dyDescent="0.25">
      <c r="A91" s="90">
        <v>75</v>
      </c>
      <c r="B91" s="90" t="str">
        <f t="shared" ca="1" si="36"/>
        <v/>
      </c>
      <c r="C91" s="83">
        <f ca="1">IF(B91="",0,COUNTIF($C$17:C90,"&gt;0")+1)</f>
        <v>0</v>
      </c>
      <c r="D91" s="84"/>
      <c r="E91" s="84"/>
      <c r="F91" s="84"/>
      <c r="G91" s="84"/>
      <c r="H91" s="84"/>
      <c r="I91" s="88" t="str">
        <f t="shared" ca="1" si="35"/>
        <v/>
      </c>
      <c r="J91" s="87" t="str">
        <f t="shared" ca="1" si="26"/>
        <v/>
      </c>
      <c r="K91" s="96"/>
      <c r="L91" s="83">
        <f ca="1">IF(J91="",0,COUNTIF(L$4:L90,"&gt;0")+MAX($Q$4:$Q$13)+1)</f>
        <v>0</v>
      </c>
      <c r="M91" s="84"/>
      <c r="N91" s="84"/>
      <c r="O91" s="84"/>
      <c r="P91" s="84"/>
      <c r="Q91" s="84"/>
      <c r="R91" s="83"/>
      <c r="S91" s="83" t="str">
        <f t="shared" ca="1" si="27"/>
        <v/>
      </c>
      <c r="T91" s="83" t="str">
        <f t="shared" ca="1" si="28"/>
        <v/>
      </c>
      <c r="U91" s="83" t="str">
        <f t="shared" ca="1" si="23"/>
        <v/>
      </c>
      <c r="V91" s="83"/>
      <c r="W91" s="83"/>
      <c r="X91" s="83" t="str">
        <f t="shared" ca="1" si="24"/>
        <v/>
      </c>
      <c r="Y91" s="83"/>
      <c r="Z91" s="101" t="str">
        <f t="shared" ca="1" si="29"/>
        <v/>
      </c>
      <c r="AA91" s="87" t="str">
        <f t="shared" ca="1" si="30"/>
        <v/>
      </c>
      <c r="AB91" s="95" t="str">
        <f t="shared" ca="1" si="31"/>
        <v/>
      </c>
      <c r="AC91" s="87"/>
      <c r="AD91" s="87"/>
      <c r="AE91" s="87"/>
      <c r="AF91" s="95" t="str">
        <f t="shared" ca="1" si="32"/>
        <v/>
      </c>
      <c r="AG91" s="91"/>
      <c r="AH91" s="87"/>
      <c r="AI91" s="87"/>
      <c r="AJ91" s="87"/>
      <c r="AK91" s="87"/>
      <c r="AL91" s="87"/>
      <c r="AM91" s="87"/>
      <c r="AN91" s="87"/>
      <c r="AO91" s="87"/>
      <c r="AP91" s="87"/>
      <c r="AQ91" s="87"/>
      <c r="AR91" s="87" t="str">
        <f t="shared" si="33"/>
        <v/>
      </c>
      <c r="AS91" s="91"/>
      <c r="AT91" s="91"/>
    </row>
    <row r="92" spans="1:46" x14ac:dyDescent="0.25">
      <c r="A92" s="90">
        <v>76</v>
      </c>
      <c r="B92" s="90" t="str">
        <f t="shared" ca="1" si="36"/>
        <v/>
      </c>
      <c r="C92" s="83">
        <f ca="1">IF(B92="",0,COUNTIF($C$17:C91,"&gt;0")+1)</f>
        <v>0</v>
      </c>
      <c r="D92" s="84"/>
      <c r="E92" s="84"/>
      <c r="F92" s="84"/>
      <c r="G92" s="84"/>
      <c r="H92" s="84"/>
      <c r="I92" s="88" t="str">
        <f t="shared" ca="1" si="35"/>
        <v/>
      </c>
      <c r="J92" s="87" t="str">
        <f t="shared" ca="1" si="26"/>
        <v/>
      </c>
      <c r="K92" s="96"/>
      <c r="L92" s="83">
        <f ca="1">IF(J92="",0,COUNTIF(L$4:L91,"&gt;0")+MAX($Q$4:$Q$13)+1)</f>
        <v>0</v>
      </c>
      <c r="M92" s="84"/>
      <c r="N92" s="84"/>
      <c r="O92" s="84"/>
      <c r="P92" s="84"/>
      <c r="Q92" s="84"/>
      <c r="R92" s="83"/>
      <c r="S92" s="83" t="str">
        <f t="shared" ca="1" si="27"/>
        <v/>
      </c>
      <c r="T92" s="83" t="str">
        <f t="shared" ca="1" si="28"/>
        <v/>
      </c>
      <c r="U92" s="83" t="str">
        <f t="shared" ca="1" si="23"/>
        <v/>
      </c>
      <c r="V92" s="83"/>
      <c r="W92" s="83"/>
      <c r="X92" s="83" t="str">
        <f t="shared" ca="1" si="24"/>
        <v/>
      </c>
      <c r="Y92" s="83"/>
      <c r="Z92" s="101" t="str">
        <f t="shared" ca="1" si="29"/>
        <v/>
      </c>
      <c r="AA92" s="87" t="str">
        <f t="shared" ca="1" si="30"/>
        <v/>
      </c>
      <c r="AB92" s="95" t="str">
        <f t="shared" ca="1" si="31"/>
        <v/>
      </c>
      <c r="AC92" s="87"/>
      <c r="AD92" s="87"/>
      <c r="AE92" s="87"/>
      <c r="AF92" s="95" t="str">
        <f t="shared" ca="1" si="32"/>
        <v/>
      </c>
      <c r="AG92" s="91"/>
      <c r="AH92" s="87"/>
      <c r="AI92" s="87"/>
      <c r="AJ92" s="87"/>
      <c r="AK92" s="87"/>
      <c r="AL92" s="87"/>
      <c r="AM92" s="87"/>
      <c r="AN92" s="87"/>
      <c r="AO92" s="87"/>
      <c r="AP92" s="87"/>
      <c r="AQ92" s="87"/>
      <c r="AR92" s="87" t="str">
        <f t="shared" si="33"/>
        <v/>
      </c>
      <c r="AS92" s="91"/>
      <c r="AT92" s="91"/>
    </row>
    <row r="93" spans="1:46" x14ac:dyDescent="0.25">
      <c r="A93" s="90">
        <v>77</v>
      </c>
      <c r="B93" s="90" t="str">
        <f t="shared" ca="1" si="36"/>
        <v/>
      </c>
      <c r="C93" s="83">
        <f ca="1">IF(B93="",0,COUNTIF($C$17:C92,"&gt;0")+1)</f>
        <v>0</v>
      </c>
      <c r="D93" s="84"/>
      <c r="E93" s="84"/>
      <c r="F93" s="84"/>
      <c r="G93" s="84"/>
      <c r="H93" s="84"/>
      <c r="I93" s="88" t="str">
        <f t="shared" ca="1" si="35"/>
        <v/>
      </c>
      <c r="J93" s="87" t="str">
        <f t="shared" ca="1" si="26"/>
        <v/>
      </c>
      <c r="K93" s="96"/>
      <c r="L93" s="83">
        <f ca="1">IF(J93="",0,COUNTIF(L$4:L92,"&gt;0")+MAX($Q$4:$Q$13)+1)</f>
        <v>0</v>
      </c>
      <c r="M93" s="84"/>
      <c r="N93" s="84"/>
      <c r="O93" s="84"/>
      <c r="P93" s="84"/>
      <c r="Q93" s="84"/>
      <c r="R93" s="83"/>
      <c r="S93" s="83" t="str">
        <f t="shared" ca="1" si="27"/>
        <v/>
      </c>
      <c r="T93" s="83" t="str">
        <f t="shared" ca="1" si="28"/>
        <v/>
      </c>
      <c r="U93" s="83" t="str">
        <f t="shared" ca="1" si="23"/>
        <v/>
      </c>
      <c r="V93" s="83"/>
      <c r="W93" s="83"/>
      <c r="X93" s="83" t="str">
        <f t="shared" ca="1" si="24"/>
        <v/>
      </c>
      <c r="Y93" s="83"/>
      <c r="Z93" s="101" t="str">
        <f t="shared" ca="1" si="29"/>
        <v/>
      </c>
      <c r="AA93" s="87" t="str">
        <f t="shared" ca="1" si="30"/>
        <v/>
      </c>
      <c r="AB93" s="95" t="str">
        <f t="shared" ca="1" si="31"/>
        <v/>
      </c>
      <c r="AC93" s="87"/>
      <c r="AD93" s="87"/>
      <c r="AE93" s="87"/>
      <c r="AF93" s="95" t="str">
        <f t="shared" ca="1" si="32"/>
        <v/>
      </c>
      <c r="AG93" s="91"/>
      <c r="AH93" s="87"/>
      <c r="AI93" s="87"/>
      <c r="AJ93" s="87"/>
      <c r="AK93" s="87"/>
      <c r="AL93" s="87"/>
      <c r="AM93" s="87"/>
      <c r="AN93" s="87"/>
      <c r="AO93" s="87"/>
      <c r="AP93" s="87"/>
      <c r="AQ93" s="87"/>
      <c r="AR93" s="87" t="str">
        <f t="shared" si="33"/>
        <v/>
      </c>
      <c r="AS93" s="91"/>
      <c r="AT93" s="91"/>
    </row>
    <row r="94" spans="1:46" x14ac:dyDescent="0.25">
      <c r="A94" s="90">
        <v>78</v>
      </c>
      <c r="B94" s="90" t="str">
        <f t="shared" ca="1" si="36"/>
        <v/>
      </c>
      <c r="C94" s="83">
        <f ca="1">IF(B94="",0,COUNTIF($C$17:C93,"&gt;0")+1)</f>
        <v>0</v>
      </c>
      <c r="D94" s="84"/>
      <c r="E94" s="84"/>
      <c r="F94" s="84"/>
      <c r="G94" s="84"/>
      <c r="H94" s="84"/>
      <c r="I94" s="88" t="str">
        <f t="shared" ca="1" si="35"/>
        <v/>
      </c>
      <c r="J94" s="87" t="str">
        <f t="shared" ca="1" si="26"/>
        <v/>
      </c>
      <c r="K94" s="96"/>
      <c r="L94" s="83">
        <f ca="1">IF(J94="",0,COUNTIF(L$4:L93,"&gt;0")+MAX($Q$4:$Q$13)+1)</f>
        <v>0</v>
      </c>
      <c r="M94" s="84"/>
      <c r="N94" s="84"/>
      <c r="O94" s="84"/>
      <c r="P94" s="84"/>
      <c r="Q94" s="84"/>
      <c r="R94" s="83"/>
      <c r="S94" s="83" t="str">
        <f t="shared" ca="1" si="27"/>
        <v/>
      </c>
      <c r="T94" s="83" t="str">
        <f t="shared" ca="1" si="28"/>
        <v/>
      </c>
      <c r="U94" s="83" t="str">
        <f t="shared" ca="1" si="23"/>
        <v/>
      </c>
      <c r="V94" s="83"/>
      <c r="W94" s="83"/>
      <c r="X94" s="83" t="str">
        <f t="shared" ca="1" si="24"/>
        <v/>
      </c>
      <c r="Y94" s="83"/>
      <c r="Z94" s="101" t="str">
        <f t="shared" ca="1" si="29"/>
        <v/>
      </c>
      <c r="AA94" s="87" t="str">
        <f t="shared" ca="1" si="30"/>
        <v/>
      </c>
      <c r="AB94" s="95" t="str">
        <f t="shared" ca="1" si="31"/>
        <v/>
      </c>
      <c r="AC94" s="87"/>
      <c r="AD94" s="87"/>
      <c r="AE94" s="87"/>
      <c r="AF94" s="95" t="str">
        <f t="shared" ca="1" si="32"/>
        <v/>
      </c>
      <c r="AG94" s="91"/>
      <c r="AH94" s="87"/>
      <c r="AI94" s="87"/>
      <c r="AJ94" s="87"/>
      <c r="AK94" s="87"/>
      <c r="AL94" s="87"/>
      <c r="AM94" s="87"/>
      <c r="AN94" s="87"/>
      <c r="AO94" s="87"/>
      <c r="AP94" s="87"/>
      <c r="AQ94" s="87"/>
      <c r="AR94" s="87" t="str">
        <f t="shared" si="33"/>
        <v/>
      </c>
      <c r="AS94" s="91"/>
      <c r="AT94" s="91"/>
    </row>
    <row r="95" spans="1:46" x14ac:dyDescent="0.25">
      <c r="A95" s="90">
        <v>79</v>
      </c>
      <c r="B95" s="90" t="str">
        <f t="shared" ca="1" si="36"/>
        <v/>
      </c>
      <c r="C95" s="83">
        <f ca="1">IF(B95="",0,COUNTIF($C$17:C94,"&gt;0")+1)</f>
        <v>0</v>
      </c>
      <c r="D95" s="84"/>
      <c r="E95" s="84"/>
      <c r="F95" s="84"/>
      <c r="G95" s="84"/>
      <c r="H95" s="84"/>
      <c r="I95" s="88" t="str">
        <f t="shared" ca="1" si="35"/>
        <v/>
      </c>
      <c r="J95" s="87" t="str">
        <f t="shared" ca="1" si="26"/>
        <v/>
      </c>
      <c r="K95" s="96"/>
      <c r="L95" s="83">
        <f ca="1">IF(J95="",0,COUNTIF(L$4:L94,"&gt;0")+MAX($Q$4:$Q$13)+1)</f>
        <v>0</v>
      </c>
      <c r="M95" s="84"/>
      <c r="N95" s="84"/>
      <c r="O95" s="84"/>
      <c r="P95" s="84"/>
      <c r="Q95" s="84"/>
      <c r="R95" s="83"/>
      <c r="S95" s="83" t="str">
        <f t="shared" ca="1" si="27"/>
        <v/>
      </c>
      <c r="T95" s="83" t="str">
        <f t="shared" ca="1" si="28"/>
        <v/>
      </c>
      <c r="U95" s="83" t="str">
        <f t="shared" ca="1" si="23"/>
        <v/>
      </c>
      <c r="V95" s="83"/>
      <c r="W95" s="83"/>
      <c r="X95" s="83" t="str">
        <f t="shared" ca="1" si="24"/>
        <v/>
      </c>
      <c r="Y95" s="83"/>
      <c r="Z95" s="101" t="str">
        <f t="shared" ca="1" si="29"/>
        <v/>
      </c>
      <c r="AA95" s="87" t="str">
        <f t="shared" ca="1" si="30"/>
        <v/>
      </c>
      <c r="AB95" s="95" t="str">
        <f t="shared" ca="1" si="31"/>
        <v/>
      </c>
      <c r="AC95" s="87"/>
      <c r="AD95" s="87"/>
      <c r="AE95" s="87"/>
      <c r="AF95" s="95" t="str">
        <f t="shared" ca="1" si="32"/>
        <v/>
      </c>
      <c r="AG95" s="91"/>
      <c r="AH95" s="87"/>
      <c r="AI95" s="87"/>
      <c r="AJ95" s="87"/>
      <c r="AK95" s="87"/>
      <c r="AL95" s="87"/>
      <c r="AM95" s="87"/>
      <c r="AN95" s="87"/>
      <c r="AO95" s="87"/>
      <c r="AP95" s="87"/>
      <c r="AQ95" s="87"/>
      <c r="AR95" s="87" t="str">
        <f t="shared" si="33"/>
        <v/>
      </c>
      <c r="AS95" s="91"/>
      <c r="AT95" s="91"/>
    </row>
    <row r="96" spans="1:46" x14ac:dyDescent="0.25">
      <c r="A96" s="90">
        <v>80</v>
      </c>
      <c r="B96" s="90" t="str">
        <f t="shared" ca="1" si="36"/>
        <v/>
      </c>
      <c r="C96" s="83">
        <f ca="1">IF(B96="",0,COUNTIF($C$17:C95,"&gt;0")+1)</f>
        <v>0</v>
      </c>
      <c r="D96" s="84"/>
      <c r="E96" s="84"/>
      <c r="F96" s="84"/>
      <c r="G96" s="84"/>
      <c r="H96" s="84"/>
      <c r="I96" s="88" t="str">
        <f t="shared" ca="1" si="35"/>
        <v/>
      </c>
      <c r="J96" s="87" t="str">
        <f t="shared" ca="1" si="26"/>
        <v/>
      </c>
      <c r="K96" s="96"/>
      <c r="L96" s="83">
        <f ca="1">IF(J96="",0,COUNTIF(L$4:L95,"&gt;0")+MAX($Q$4:$Q$13)+1)</f>
        <v>0</v>
      </c>
      <c r="M96" s="84"/>
      <c r="N96" s="84"/>
      <c r="O96" s="84"/>
      <c r="P96" s="84"/>
      <c r="Q96" s="84"/>
      <c r="R96" s="83"/>
      <c r="S96" s="83" t="str">
        <f t="shared" ca="1" si="27"/>
        <v/>
      </c>
      <c r="T96" s="83" t="str">
        <f t="shared" ca="1" si="28"/>
        <v/>
      </c>
      <c r="U96" s="83" t="str">
        <f t="shared" ca="1" si="23"/>
        <v/>
      </c>
      <c r="V96" s="83"/>
      <c r="W96" s="83"/>
      <c r="X96" s="83" t="str">
        <f t="shared" ca="1" si="24"/>
        <v/>
      </c>
      <c r="Y96" s="83"/>
      <c r="Z96" s="101" t="str">
        <f t="shared" ca="1" si="29"/>
        <v/>
      </c>
      <c r="AA96" s="87" t="str">
        <f t="shared" ca="1" si="30"/>
        <v/>
      </c>
      <c r="AB96" s="95" t="str">
        <f t="shared" ca="1" si="31"/>
        <v/>
      </c>
      <c r="AC96" s="87"/>
      <c r="AD96" s="87"/>
      <c r="AE96" s="87"/>
      <c r="AF96" s="95" t="str">
        <f t="shared" ca="1" si="32"/>
        <v/>
      </c>
      <c r="AG96" s="91"/>
      <c r="AH96" s="87"/>
      <c r="AI96" s="87"/>
      <c r="AJ96" s="87"/>
      <c r="AK96" s="87"/>
      <c r="AL96" s="87"/>
      <c r="AM96" s="87"/>
      <c r="AN96" s="87"/>
      <c r="AO96" s="87"/>
      <c r="AP96" s="87"/>
      <c r="AQ96" s="87"/>
      <c r="AR96" s="87" t="str">
        <f t="shared" si="33"/>
        <v/>
      </c>
      <c r="AS96" s="91"/>
      <c r="AT96" s="91"/>
    </row>
    <row r="97" spans="1:46" x14ac:dyDescent="0.25">
      <c r="A97" s="88">
        <v>81</v>
      </c>
      <c r="B97" s="88" t="str">
        <f ca="1">IF(B12=0,"",B12)</f>
        <v/>
      </c>
      <c r="C97" s="83">
        <f ca="1">IF(B97="",0,COUNTIF($C$17:C96,"&gt;0")+1)</f>
        <v>0</v>
      </c>
      <c r="D97" s="84"/>
      <c r="E97" s="84"/>
      <c r="F97" s="84"/>
      <c r="G97" s="84"/>
      <c r="H97" s="84"/>
      <c r="I97" s="88" t="str">
        <f t="shared" ca="1" si="35"/>
        <v/>
      </c>
      <c r="J97" s="87" t="str">
        <f t="shared" ca="1" si="26"/>
        <v/>
      </c>
      <c r="K97" s="96"/>
      <c r="L97" s="83">
        <f ca="1">IF(J97="",0,COUNTIF(L$4:L96,"&gt;0")+MAX($Q$4:$Q$13)+1)</f>
        <v>0</v>
      </c>
      <c r="M97" s="84"/>
      <c r="N97" s="84"/>
      <c r="O97" s="84"/>
      <c r="P97" s="84"/>
      <c r="Q97" s="84"/>
      <c r="R97" s="83"/>
      <c r="S97" s="83" t="str">
        <f t="shared" ca="1" si="27"/>
        <v/>
      </c>
      <c r="T97" s="83" t="str">
        <f t="shared" ca="1" si="28"/>
        <v/>
      </c>
      <c r="U97" s="83" t="str">
        <f t="shared" ca="1" si="23"/>
        <v/>
      </c>
      <c r="V97" s="83"/>
      <c r="W97" s="83"/>
      <c r="X97" s="83" t="str">
        <f t="shared" ca="1" si="24"/>
        <v/>
      </c>
      <c r="Y97" s="83"/>
      <c r="Z97" s="101" t="str">
        <f t="shared" ca="1" si="29"/>
        <v/>
      </c>
      <c r="AA97" s="87" t="str">
        <f t="shared" ca="1" si="30"/>
        <v/>
      </c>
      <c r="AB97" s="95" t="str">
        <f t="shared" ca="1" si="31"/>
        <v/>
      </c>
      <c r="AC97" s="87"/>
      <c r="AD97" s="87"/>
      <c r="AE97" s="87"/>
      <c r="AF97" s="95" t="str">
        <f t="shared" ca="1" si="32"/>
        <v/>
      </c>
      <c r="AG97" s="91"/>
      <c r="AH97" s="87"/>
      <c r="AI97" s="87"/>
      <c r="AJ97" s="87"/>
      <c r="AK97" s="87"/>
      <c r="AL97" s="87"/>
      <c r="AM97" s="87"/>
      <c r="AN97" s="87"/>
      <c r="AO97" s="87"/>
      <c r="AP97" s="87"/>
      <c r="AQ97" s="87"/>
      <c r="AR97" s="87" t="str">
        <f t="shared" si="33"/>
        <v/>
      </c>
      <c r="AS97" s="91"/>
      <c r="AT97" s="91"/>
    </row>
    <row r="98" spans="1:46" x14ac:dyDescent="0.25">
      <c r="A98" s="88">
        <v>82</v>
      </c>
      <c r="B98" s="88" t="str">
        <f ca="1">IF($A18&lt;=$C$12,B97,"")</f>
        <v/>
      </c>
      <c r="C98" s="83">
        <f ca="1">IF(B98="",0,COUNTIF($C$17:C97,"&gt;0")+1)</f>
        <v>0</v>
      </c>
      <c r="D98" s="84"/>
      <c r="E98" s="84"/>
      <c r="F98" s="84"/>
      <c r="G98" s="84"/>
      <c r="H98" s="84"/>
      <c r="I98" s="88" t="str">
        <f t="shared" ca="1" si="35"/>
        <v/>
      </c>
      <c r="J98" s="87" t="str">
        <f t="shared" ca="1" si="26"/>
        <v/>
      </c>
      <c r="K98" s="96"/>
      <c r="L98" s="83">
        <f ca="1">IF(J98="",0,COUNTIF(L$4:L97,"&gt;0")+MAX($Q$4:$Q$13)+1)</f>
        <v>0</v>
      </c>
      <c r="M98" s="84"/>
      <c r="N98" s="84"/>
      <c r="O98" s="84"/>
      <c r="P98" s="84"/>
      <c r="Q98" s="84"/>
      <c r="R98" s="83"/>
      <c r="S98" s="83" t="str">
        <f t="shared" ca="1" si="27"/>
        <v/>
      </c>
      <c r="T98" s="83" t="str">
        <f t="shared" ca="1" si="28"/>
        <v/>
      </c>
      <c r="U98" s="83" t="str">
        <f t="shared" ca="1" si="23"/>
        <v/>
      </c>
      <c r="V98" s="83"/>
      <c r="W98" s="83"/>
      <c r="X98" s="83" t="str">
        <f t="shared" ca="1" si="24"/>
        <v/>
      </c>
      <c r="Y98" s="83"/>
      <c r="Z98" s="101" t="str">
        <f t="shared" ca="1" si="29"/>
        <v/>
      </c>
      <c r="AA98" s="87" t="str">
        <f t="shared" ca="1" si="30"/>
        <v/>
      </c>
      <c r="AB98" s="95" t="str">
        <f t="shared" ca="1" si="31"/>
        <v/>
      </c>
      <c r="AC98" s="87"/>
      <c r="AD98" s="87"/>
      <c r="AE98" s="87"/>
      <c r="AF98" s="95" t="str">
        <f t="shared" ca="1" si="32"/>
        <v/>
      </c>
      <c r="AG98" s="91"/>
      <c r="AH98" s="87"/>
      <c r="AI98" s="87"/>
      <c r="AJ98" s="87"/>
      <c r="AK98" s="87"/>
      <c r="AL98" s="87"/>
      <c r="AM98" s="87"/>
      <c r="AN98" s="87"/>
      <c r="AO98" s="87"/>
      <c r="AP98" s="87"/>
      <c r="AQ98" s="87"/>
      <c r="AR98" s="87" t="str">
        <f t="shared" si="33"/>
        <v/>
      </c>
      <c r="AS98" s="91"/>
      <c r="AT98" s="91"/>
    </row>
    <row r="99" spans="1:46" x14ac:dyDescent="0.25">
      <c r="A99" s="88">
        <v>83</v>
      </c>
      <c r="B99" s="88" t="str">
        <f t="shared" ref="B99:B106" ca="1" si="37">IF($A19&lt;=$C$12,B98,"")</f>
        <v/>
      </c>
      <c r="C99" s="83">
        <f ca="1">IF(B99="",0,COUNTIF($C$17:C98,"&gt;0")+1)</f>
        <v>0</v>
      </c>
      <c r="D99" s="84"/>
      <c r="E99" s="84"/>
      <c r="F99" s="84"/>
      <c r="G99" s="84"/>
      <c r="H99" s="84"/>
      <c r="I99" s="88" t="str">
        <f t="shared" ca="1" si="35"/>
        <v/>
      </c>
      <c r="J99" s="87" t="str">
        <f t="shared" ca="1" si="26"/>
        <v/>
      </c>
      <c r="K99" s="96"/>
      <c r="L99" s="83">
        <f ca="1">IF(J99="",0,COUNTIF(L$4:L98,"&gt;0")+MAX($Q$4:$Q$13)+1)</f>
        <v>0</v>
      </c>
      <c r="M99" s="84"/>
      <c r="N99" s="84"/>
      <c r="O99" s="84"/>
      <c r="P99" s="84"/>
      <c r="Q99" s="84"/>
      <c r="R99" s="83"/>
      <c r="S99" s="83" t="str">
        <f t="shared" ca="1" si="27"/>
        <v/>
      </c>
      <c r="T99" s="83" t="str">
        <f t="shared" ca="1" si="28"/>
        <v/>
      </c>
      <c r="U99" s="83" t="str">
        <f t="shared" ca="1" si="23"/>
        <v/>
      </c>
      <c r="V99" s="83"/>
      <c r="W99" s="83"/>
      <c r="X99" s="83" t="str">
        <f t="shared" ca="1" si="24"/>
        <v/>
      </c>
      <c r="Y99" s="83"/>
      <c r="Z99" s="101" t="str">
        <f t="shared" ca="1" si="29"/>
        <v/>
      </c>
      <c r="AA99" s="87" t="str">
        <f t="shared" ca="1" si="30"/>
        <v/>
      </c>
      <c r="AB99" s="95" t="str">
        <f t="shared" ca="1" si="31"/>
        <v/>
      </c>
      <c r="AC99" s="87"/>
      <c r="AD99" s="87"/>
      <c r="AE99" s="87"/>
      <c r="AF99" s="95" t="str">
        <f t="shared" ca="1" si="32"/>
        <v/>
      </c>
      <c r="AG99" s="91"/>
      <c r="AH99" s="87"/>
      <c r="AI99" s="87"/>
      <c r="AJ99" s="87"/>
      <c r="AK99" s="87"/>
      <c r="AL99" s="87"/>
      <c r="AM99" s="87"/>
      <c r="AN99" s="87"/>
      <c r="AO99" s="87"/>
      <c r="AP99" s="87"/>
      <c r="AQ99" s="87"/>
      <c r="AR99" s="87" t="str">
        <f t="shared" si="33"/>
        <v/>
      </c>
      <c r="AS99" s="91"/>
      <c r="AT99" s="91"/>
    </row>
    <row r="100" spans="1:46" x14ac:dyDescent="0.25">
      <c r="A100" s="88">
        <v>84</v>
      </c>
      <c r="B100" s="88" t="str">
        <f t="shared" ca="1" si="37"/>
        <v/>
      </c>
      <c r="C100" s="83">
        <f ca="1">IF(B100="",0,COUNTIF($C$17:C99,"&gt;0")+1)</f>
        <v>0</v>
      </c>
      <c r="D100" s="84"/>
      <c r="E100" s="84"/>
      <c r="F100" s="84"/>
      <c r="G100" s="84"/>
      <c r="H100" s="84"/>
      <c r="I100" s="88" t="str">
        <f t="shared" ca="1" si="35"/>
        <v/>
      </c>
      <c r="J100" s="87" t="str">
        <f t="shared" ca="1" si="26"/>
        <v/>
      </c>
      <c r="K100" s="96"/>
      <c r="L100" s="83">
        <f ca="1">IF(J100="",0,COUNTIF(L$4:L99,"&gt;0")+MAX($Q$4:$Q$13)+1)</f>
        <v>0</v>
      </c>
      <c r="M100" s="84"/>
      <c r="N100" s="84"/>
      <c r="O100" s="84"/>
      <c r="P100" s="84"/>
      <c r="Q100" s="84"/>
      <c r="R100" s="83"/>
      <c r="S100" s="83" t="str">
        <f t="shared" ca="1" si="27"/>
        <v/>
      </c>
      <c r="T100" s="83" t="str">
        <f t="shared" ca="1" si="28"/>
        <v/>
      </c>
      <c r="U100" s="83" t="str">
        <f t="shared" ref="U100:U113" ca="1" si="38">IFERROR(INDEX($P$4:$P$13,MATCH($S100,$Q$4:$Q$13,0),1),IFERROR(INDEX($K$4:$K$103,MATCH($S100,$L$4:$L$103,0),1),""))</f>
        <v/>
      </c>
      <c r="V100" s="83"/>
      <c r="W100" s="83"/>
      <c r="X100" s="83" t="str">
        <f t="shared" ref="X100:X117" ca="1" si="39">IFERROR(LARGE($V$4:$V$113,Z100),"")</f>
        <v/>
      </c>
      <c r="Y100" s="83"/>
      <c r="Z100" s="101" t="str">
        <f t="shared" ca="1" si="29"/>
        <v/>
      </c>
      <c r="AA100" s="87" t="str">
        <f t="shared" ca="1" si="30"/>
        <v/>
      </c>
      <c r="AB100" s="95" t="str">
        <f t="shared" ca="1" si="31"/>
        <v/>
      </c>
      <c r="AC100" s="87"/>
      <c r="AD100" s="87"/>
      <c r="AE100" s="87"/>
      <c r="AF100" s="95" t="str">
        <f t="shared" ca="1" si="32"/>
        <v/>
      </c>
      <c r="AG100" s="91"/>
      <c r="AH100" s="87"/>
      <c r="AI100" s="87"/>
      <c r="AJ100" s="87"/>
      <c r="AK100" s="87"/>
      <c r="AL100" s="87"/>
      <c r="AM100" s="87"/>
      <c r="AN100" s="87"/>
      <c r="AO100" s="87"/>
      <c r="AP100" s="87"/>
      <c r="AQ100" s="87"/>
      <c r="AR100" s="87" t="str">
        <f t="shared" si="33"/>
        <v/>
      </c>
      <c r="AS100" s="91"/>
      <c r="AT100" s="91"/>
    </row>
    <row r="101" spans="1:46" x14ac:dyDescent="0.25">
      <c r="A101" s="88">
        <v>85</v>
      </c>
      <c r="B101" s="88" t="str">
        <f t="shared" ca="1" si="37"/>
        <v/>
      </c>
      <c r="C101" s="83">
        <f ca="1">IF(B101="",0,COUNTIF($C$17:C100,"&gt;0")+1)</f>
        <v>0</v>
      </c>
      <c r="D101" s="84"/>
      <c r="E101" s="84"/>
      <c r="F101" s="84"/>
      <c r="G101" s="84"/>
      <c r="H101" s="84"/>
      <c r="I101" s="88" t="str">
        <f t="shared" ca="1" si="35"/>
        <v/>
      </c>
      <c r="J101" s="87" t="str">
        <f t="shared" ca="1" si="26"/>
        <v/>
      </c>
      <c r="K101" s="96"/>
      <c r="L101" s="83">
        <f ca="1">IF(J101="",0,COUNTIF(L$4:L100,"&gt;0")+MAX($Q$4:$Q$13)+1)</f>
        <v>0</v>
      </c>
      <c r="M101" s="84"/>
      <c r="N101" s="84"/>
      <c r="O101" s="84"/>
      <c r="P101" s="84"/>
      <c r="Q101" s="84"/>
      <c r="R101" s="83"/>
      <c r="S101" s="83" t="str">
        <f t="shared" ref="S101:S113" ca="1" si="40">IFERROR(IF(S100+1&lt;=$C$2+MAX($Q$4:$Q$13),S100+1,""),"")</f>
        <v/>
      </c>
      <c r="T101" s="83" t="str">
        <f t="shared" ref="T101:T113" ca="1" si="41">IFERROR(INDEX($O$4:$O$13,MATCH(S101,$Q$4:$Q$13,0),1),IFERROR(INDEX($J$4:$J$103,MATCH(S101,$L$4:$L$103,0),1),""))</f>
        <v/>
      </c>
      <c r="U101" s="83" t="str">
        <f t="shared" ca="1" si="38"/>
        <v/>
      </c>
      <c r="V101" s="83"/>
      <c r="W101" s="83"/>
      <c r="X101" s="83" t="str">
        <f t="shared" ca="1" si="39"/>
        <v/>
      </c>
      <c r="Y101" s="83"/>
      <c r="Z101" s="101" t="str">
        <f t="shared" ref="Z101:Z113" ca="1" si="42">IFERROR(IF(Z100+1&lt;=$C$2+MAX($Q$4:$Q$13),Z100+1,""),"")</f>
        <v/>
      </c>
      <c r="AA101" s="87" t="str">
        <f t="shared" ca="1" si="30"/>
        <v/>
      </c>
      <c r="AB101" s="95" t="str">
        <f t="shared" ca="1" si="31"/>
        <v/>
      </c>
      <c r="AC101" s="87"/>
      <c r="AD101" s="87"/>
      <c r="AE101" s="87"/>
      <c r="AF101" s="95" t="str">
        <f t="shared" ca="1" si="32"/>
        <v/>
      </c>
      <c r="AG101" s="91"/>
      <c r="AH101" s="87"/>
      <c r="AI101" s="87"/>
      <c r="AJ101" s="87"/>
      <c r="AK101" s="87"/>
      <c r="AL101" s="87"/>
      <c r="AM101" s="87"/>
      <c r="AN101" s="87"/>
      <c r="AO101" s="87"/>
      <c r="AP101" s="87"/>
      <c r="AQ101" s="87"/>
      <c r="AR101" s="87" t="str">
        <f t="shared" si="33"/>
        <v/>
      </c>
      <c r="AS101" s="91"/>
      <c r="AT101" s="91"/>
    </row>
    <row r="102" spans="1:46" x14ac:dyDescent="0.25">
      <c r="A102" s="88">
        <v>86</v>
      </c>
      <c r="B102" s="88" t="str">
        <f t="shared" ca="1" si="37"/>
        <v/>
      </c>
      <c r="C102" s="83">
        <f ca="1">IF(B102="",0,COUNTIF($C$17:C101,"&gt;0")+1)</f>
        <v>0</v>
      </c>
      <c r="D102" s="84"/>
      <c r="E102" s="84"/>
      <c r="F102" s="84"/>
      <c r="G102" s="84"/>
      <c r="H102" s="84"/>
      <c r="I102" s="88" t="str">
        <f t="shared" ca="1" si="35"/>
        <v/>
      </c>
      <c r="J102" s="87" t="str">
        <f t="shared" ca="1" si="26"/>
        <v/>
      </c>
      <c r="K102" s="96"/>
      <c r="L102" s="83">
        <f ca="1">IF(J102="",0,COUNTIF(L$4:L101,"&gt;0")+MAX($Q$4:$Q$13)+1)</f>
        <v>0</v>
      </c>
      <c r="M102" s="84"/>
      <c r="N102" s="84"/>
      <c r="O102" s="84"/>
      <c r="P102" s="84"/>
      <c r="Q102" s="84"/>
      <c r="R102" s="83"/>
      <c r="S102" s="83" t="str">
        <f t="shared" ca="1" si="40"/>
        <v/>
      </c>
      <c r="T102" s="83" t="str">
        <f t="shared" ca="1" si="41"/>
        <v/>
      </c>
      <c r="U102" s="83" t="str">
        <f t="shared" ca="1" si="38"/>
        <v/>
      </c>
      <c r="V102" s="83"/>
      <c r="W102" s="83"/>
      <c r="X102" s="83" t="str">
        <f t="shared" ca="1" si="39"/>
        <v/>
      </c>
      <c r="Y102" s="83"/>
      <c r="Z102" s="101" t="str">
        <f t="shared" ca="1" si="42"/>
        <v/>
      </c>
      <c r="AA102" s="87" t="str">
        <f t="shared" ca="1" si="30"/>
        <v/>
      </c>
      <c r="AB102" s="95" t="str">
        <f t="shared" ca="1" si="31"/>
        <v/>
      </c>
      <c r="AC102" s="87"/>
      <c r="AD102" s="87"/>
      <c r="AE102" s="87"/>
      <c r="AF102" s="95" t="str">
        <f t="shared" ca="1" si="32"/>
        <v/>
      </c>
      <c r="AG102" s="91"/>
      <c r="AH102" s="87"/>
      <c r="AI102" s="87"/>
      <c r="AJ102" s="87"/>
      <c r="AK102" s="87"/>
      <c r="AL102" s="87"/>
      <c r="AM102" s="87"/>
      <c r="AN102" s="87"/>
      <c r="AO102" s="87"/>
      <c r="AP102" s="87"/>
      <c r="AQ102" s="87"/>
      <c r="AR102" s="87" t="str">
        <f t="shared" si="33"/>
        <v/>
      </c>
      <c r="AS102" s="91"/>
      <c r="AT102" s="91"/>
    </row>
    <row r="103" spans="1:46" x14ac:dyDescent="0.25">
      <c r="A103" s="88">
        <v>87</v>
      </c>
      <c r="B103" s="88" t="str">
        <f t="shared" ca="1" si="37"/>
        <v/>
      </c>
      <c r="C103" s="83">
        <f ca="1">IF(B103="",0,COUNTIF($C$17:C102,"&gt;0")+1)</f>
        <v>0</v>
      </c>
      <c r="D103" s="84"/>
      <c r="E103" s="84"/>
      <c r="F103" s="84"/>
      <c r="G103" s="84"/>
      <c r="H103" s="84"/>
      <c r="I103" s="88" t="str">
        <f t="shared" ca="1" si="35"/>
        <v/>
      </c>
      <c r="J103" s="87" t="str">
        <f t="shared" ca="1" si="26"/>
        <v/>
      </c>
      <c r="K103" s="96"/>
      <c r="L103" s="83">
        <f ca="1">IF(J103="",0,COUNTIF(L$4:L102,"&gt;0")+MAX($Q$4:$Q$13)+1)</f>
        <v>0</v>
      </c>
      <c r="M103" s="84"/>
      <c r="N103" s="84"/>
      <c r="O103" s="84"/>
      <c r="P103" s="84"/>
      <c r="Q103" s="84"/>
      <c r="R103" s="83"/>
      <c r="S103" s="83" t="str">
        <f t="shared" ca="1" si="40"/>
        <v/>
      </c>
      <c r="T103" s="83" t="str">
        <f t="shared" ca="1" si="41"/>
        <v/>
      </c>
      <c r="U103" s="83" t="str">
        <f t="shared" ca="1" si="38"/>
        <v/>
      </c>
      <c r="V103" s="83"/>
      <c r="W103" s="83"/>
      <c r="X103" s="83" t="str">
        <f t="shared" ca="1" si="39"/>
        <v/>
      </c>
      <c r="Y103" s="83"/>
      <c r="Z103" s="101" t="str">
        <f t="shared" ca="1" si="42"/>
        <v/>
      </c>
      <c r="AA103" s="87" t="str">
        <f t="shared" ca="1" si="30"/>
        <v/>
      </c>
      <c r="AB103" s="95" t="str">
        <f t="shared" ca="1" si="31"/>
        <v/>
      </c>
      <c r="AC103" s="87"/>
      <c r="AD103" s="87"/>
      <c r="AE103" s="87"/>
      <c r="AF103" s="95" t="str">
        <f t="shared" ca="1" si="32"/>
        <v/>
      </c>
      <c r="AG103" s="91"/>
      <c r="AH103" s="87"/>
      <c r="AI103" s="87"/>
      <c r="AJ103" s="87"/>
      <c r="AK103" s="87"/>
      <c r="AL103" s="87"/>
      <c r="AM103" s="87"/>
      <c r="AN103" s="87"/>
      <c r="AO103" s="87"/>
      <c r="AP103" s="87"/>
      <c r="AQ103" s="87"/>
      <c r="AR103" s="87" t="str">
        <f t="shared" si="33"/>
        <v/>
      </c>
      <c r="AS103" s="91"/>
      <c r="AT103" s="91"/>
    </row>
    <row r="104" spans="1:46" x14ac:dyDescent="0.25">
      <c r="A104" s="88">
        <v>88</v>
      </c>
      <c r="B104" s="88" t="str">
        <f t="shared" ca="1" si="37"/>
        <v/>
      </c>
      <c r="C104" s="83">
        <f ca="1">IF(B104="",0,COUNTIF($C$17:C103,"&gt;0")+1)</f>
        <v>0</v>
      </c>
      <c r="D104" s="84"/>
      <c r="E104" s="84"/>
      <c r="F104" s="84"/>
      <c r="G104" s="84"/>
      <c r="H104" s="84"/>
      <c r="I104" s="84"/>
      <c r="J104" s="84"/>
      <c r="K104" s="84"/>
      <c r="L104" s="83"/>
      <c r="M104" s="84"/>
      <c r="N104" s="84"/>
      <c r="O104" s="84"/>
      <c r="P104" s="84"/>
      <c r="Q104" s="84"/>
      <c r="R104" s="83"/>
      <c r="S104" s="83" t="str">
        <f t="shared" ca="1" si="40"/>
        <v/>
      </c>
      <c r="T104" s="83" t="str">
        <f t="shared" ca="1" si="41"/>
        <v/>
      </c>
      <c r="U104" s="83" t="str">
        <f t="shared" ca="1" si="38"/>
        <v/>
      </c>
      <c r="V104" s="83"/>
      <c r="W104" s="83"/>
      <c r="X104" s="83" t="str">
        <f t="shared" ca="1" si="39"/>
        <v/>
      </c>
      <c r="Y104" s="83"/>
      <c r="Z104" s="101" t="str">
        <f t="shared" ca="1" si="42"/>
        <v/>
      </c>
      <c r="AA104" s="87" t="str">
        <f t="shared" ca="1" si="30"/>
        <v/>
      </c>
      <c r="AB104" s="95" t="str">
        <f t="shared" ca="1" si="31"/>
        <v/>
      </c>
      <c r="AC104" s="87"/>
      <c r="AD104" s="87"/>
      <c r="AE104" s="87"/>
      <c r="AF104" s="95" t="str">
        <f t="shared" ca="1" si="32"/>
        <v/>
      </c>
      <c r="AG104" s="91"/>
      <c r="AH104" s="87"/>
      <c r="AI104" s="87"/>
      <c r="AJ104" s="87"/>
      <c r="AK104" s="87"/>
      <c r="AL104" s="87"/>
      <c r="AM104" s="87"/>
      <c r="AN104" s="87"/>
      <c r="AO104" s="87"/>
      <c r="AP104" s="87"/>
      <c r="AQ104" s="87"/>
      <c r="AR104" s="87" t="str">
        <f t="shared" si="33"/>
        <v/>
      </c>
      <c r="AS104" s="91"/>
      <c r="AT104" s="91"/>
    </row>
    <row r="105" spans="1:46" x14ac:dyDescent="0.25">
      <c r="A105" s="88">
        <v>89</v>
      </c>
      <c r="B105" s="88" t="str">
        <f t="shared" ca="1" si="37"/>
        <v/>
      </c>
      <c r="C105" s="83">
        <f ca="1">IF(B105="",0,COUNTIF($C$17:C104,"&gt;0")+1)</f>
        <v>0</v>
      </c>
      <c r="D105" s="84"/>
      <c r="E105" s="84"/>
      <c r="F105" s="84"/>
      <c r="G105" s="84"/>
      <c r="H105" s="84"/>
      <c r="I105" s="84"/>
      <c r="J105" s="84"/>
      <c r="K105" s="84"/>
      <c r="L105" s="84"/>
      <c r="M105" s="84"/>
      <c r="N105" s="84"/>
      <c r="O105" s="84"/>
      <c r="P105" s="84"/>
      <c r="Q105" s="84"/>
      <c r="R105" s="83"/>
      <c r="S105" s="83" t="str">
        <f t="shared" ca="1" si="40"/>
        <v/>
      </c>
      <c r="T105" s="83" t="str">
        <f t="shared" ca="1" si="41"/>
        <v/>
      </c>
      <c r="U105" s="83" t="str">
        <f t="shared" ca="1" si="38"/>
        <v/>
      </c>
      <c r="V105" s="83"/>
      <c r="W105" s="83"/>
      <c r="X105" s="83" t="str">
        <f t="shared" ca="1" si="39"/>
        <v/>
      </c>
      <c r="Y105" s="83"/>
      <c r="Z105" s="101" t="str">
        <f t="shared" ca="1" si="42"/>
        <v/>
      </c>
      <c r="AA105" s="87" t="str">
        <f t="shared" ca="1" si="30"/>
        <v/>
      </c>
      <c r="AB105" s="95" t="str">
        <f t="shared" ca="1" si="31"/>
        <v/>
      </c>
      <c r="AC105" s="87"/>
      <c r="AD105" s="87"/>
      <c r="AE105" s="87"/>
      <c r="AF105" s="95" t="str">
        <f t="shared" ca="1" si="32"/>
        <v/>
      </c>
      <c r="AG105" s="91"/>
      <c r="AH105" s="87"/>
      <c r="AI105" s="87"/>
      <c r="AJ105" s="87"/>
      <c r="AK105" s="87"/>
      <c r="AL105" s="87"/>
      <c r="AM105" s="87"/>
      <c r="AN105" s="87"/>
      <c r="AO105" s="87"/>
      <c r="AP105" s="87"/>
      <c r="AQ105" s="87"/>
      <c r="AR105" s="87" t="str">
        <f t="shared" si="33"/>
        <v/>
      </c>
      <c r="AS105" s="91"/>
      <c r="AT105" s="91"/>
    </row>
    <row r="106" spans="1:46" x14ac:dyDescent="0.25">
      <c r="A106" s="88">
        <v>90</v>
      </c>
      <c r="B106" s="88" t="str">
        <f t="shared" ca="1" si="37"/>
        <v/>
      </c>
      <c r="C106" s="83">
        <f ca="1">IF(B106="",0,COUNTIF($C$17:C105,"&gt;0")+1)</f>
        <v>0</v>
      </c>
      <c r="D106" s="84"/>
      <c r="E106" s="84"/>
      <c r="F106" s="84"/>
      <c r="G106" s="84"/>
      <c r="H106" s="84"/>
      <c r="I106" s="84"/>
      <c r="J106" s="84"/>
      <c r="K106" s="84"/>
      <c r="L106" s="84"/>
      <c r="M106" s="84"/>
      <c r="N106" s="84"/>
      <c r="O106" s="84"/>
      <c r="P106" s="84"/>
      <c r="Q106" s="84"/>
      <c r="R106" s="83"/>
      <c r="S106" s="83" t="str">
        <f t="shared" ca="1" si="40"/>
        <v/>
      </c>
      <c r="T106" s="83" t="str">
        <f t="shared" ca="1" si="41"/>
        <v/>
      </c>
      <c r="U106" s="83" t="str">
        <f t="shared" ca="1" si="38"/>
        <v/>
      </c>
      <c r="V106" s="83"/>
      <c r="W106" s="83"/>
      <c r="X106" s="83" t="str">
        <f t="shared" ca="1" si="39"/>
        <v/>
      </c>
      <c r="Y106" s="83"/>
      <c r="Z106" s="101" t="str">
        <f t="shared" ca="1" si="42"/>
        <v/>
      </c>
      <c r="AA106" s="87" t="str">
        <f t="shared" ca="1" si="30"/>
        <v/>
      </c>
      <c r="AB106" s="95" t="str">
        <f t="shared" ca="1" si="31"/>
        <v/>
      </c>
      <c r="AC106" s="87"/>
      <c r="AD106" s="87"/>
      <c r="AE106" s="87"/>
      <c r="AF106" s="95" t="str">
        <f t="shared" ca="1" si="32"/>
        <v/>
      </c>
      <c r="AG106" s="91"/>
      <c r="AH106" s="87"/>
      <c r="AI106" s="87"/>
      <c r="AJ106" s="87"/>
      <c r="AK106" s="87"/>
      <c r="AL106" s="87"/>
      <c r="AM106" s="87"/>
      <c r="AN106" s="87"/>
      <c r="AO106" s="87"/>
      <c r="AP106" s="87"/>
      <c r="AQ106" s="87"/>
      <c r="AR106" s="87" t="str">
        <f t="shared" si="33"/>
        <v/>
      </c>
      <c r="AS106" s="91"/>
      <c r="AT106" s="91"/>
    </row>
    <row r="107" spans="1:46" x14ac:dyDescent="0.25">
      <c r="A107" s="90">
        <v>91</v>
      </c>
      <c r="B107" s="90" t="str">
        <f ca="1">IF(B13=0,"",B13)</f>
        <v/>
      </c>
      <c r="C107" s="83">
        <f ca="1">IF(B107="",0,COUNTIF($C$17:C106,"&gt;0")+1)</f>
        <v>0</v>
      </c>
      <c r="D107" s="84"/>
      <c r="E107" s="84"/>
      <c r="F107" s="84"/>
      <c r="G107" s="84"/>
      <c r="H107" s="84"/>
      <c r="I107" s="84"/>
      <c r="J107" s="84"/>
      <c r="K107" s="84"/>
      <c r="L107" s="84"/>
      <c r="M107" s="84"/>
      <c r="N107" s="84"/>
      <c r="O107" s="84"/>
      <c r="P107" s="84"/>
      <c r="Q107" s="84"/>
      <c r="R107" s="83"/>
      <c r="S107" s="83" t="str">
        <f t="shared" ca="1" si="40"/>
        <v/>
      </c>
      <c r="T107" s="83" t="str">
        <f t="shared" ca="1" si="41"/>
        <v/>
      </c>
      <c r="U107" s="83" t="str">
        <f t="shared" ca="1" si="38"/>
        <v/>
      </c>
      <c r="V107" s="83"/>
      <c r="W107" s="83"/>
      <c r="X107" s="83" t="str">
        <f t="shared" ca="1" si="39"/>
        <v/>
      </c>
      <c r="Y107" s="83"/>
      <c r="Z107" s="101" t="str">
        <f t="shared" ca="1" si="42"/>
        <v/>
      </c>
      <c r="AA107" s="87" t="str">
        <f t="shared" ca="1" si="30"/>
        <v/>
      </c>
      <c r="AB107" s="95" t="str">
        <f t="shared" ca="1" si="31"/>
        <v/>
      </c>
      <c r="AC107" s="87"/>
      <c r="AD107" s="87"/>
      <c r="AE107" s="87"/>
      <c r="AF107" s="95" t="str">
        <f t="shared" ca="1" si="32"/>
        <v/>
      </c>
      <c r="AG107" s="91"/>
      <c r="AH107" s="87"/>
      <c r="AI107" s="87"/>
      <c r="AJ107" s="87"/>
      <c r="AK107" s="87"/>
      <c r="AL107" s="87"/>
      <c r="AM107" s="87"/>
      <c r="AN107" s="87"/>
      <c r="AO107" s="87"/>
      <c r="AP107" s="87"/>
      <c r="AQ107" s="87"/>
      <c r="AR107" s="87" t="str">
        <f t="shared" si="33"/>
        <v/>
      </c>
      <c r="AS107" s="91"/>
      <c r="AT107" s="91"/>
    </row>
    <row r="108" spans="1:46" x14ac:dyDescent="0.25">
      <c r="A108" s="90">
        <v>92</v>
      </c>
      <c r="B108" s="90" t="str">
        <f ca="1">IF($A18&lt;=$C$13,B107,"")</f>
        <v/>
      </c>
      <c r="C108" s="83">
        <f ca="1">IF(B108="",0,COUNTIF($C$17:C107,"&gt;0")+1)</f>
        <v>0</v>
      </c>
      <c r="D108" s="84"/>
      <c r="E108" s="84"/>
      <c r="F108" s="84"/>
      <c r="G108" s="84"/>
      <c r="H108" s="84"/>
      <c r="I108" s="84"/>
      <c r="J108" s="84"/>
      <c r="K108" s="84"/>
      <c r="L108" s="84"/>
      <c r="M108" s="84"/>
      <c r="N108" s="84"/>
      <c r="O108" s="84"/>
      <c r="P108" s="84"/>
      <c r="Q108" s="84"/>
      <c r="R108" s="83"/>
      <c r="S108" s="83" t="str">
        <f t="shared" ca="1" si="40"/>
        <v/>
      </c>
      <c r="T108" s="83" t="str">
        <f t="shared" ca="1" si="41"/>
        <v/>
      </c>
      <c r="U108" s="83" t="str">
        <f t="shared" ca="1" si="38"/>
        <v/>
      </c>
      <c r="V108" s="83"/>
      <c r="W108" s="83"/>
      <c r="X108" s="83" t="str">
        <f t="shared" ca="1" si="39"/>
        <v/>
      </c>
      <c r="Y108" s="83"/>
      <c r="Z108" s="101" t="str">
        <f t="shared" ca="1" si="42"/>
        <v/>
      </c>
      <c r="AA108" s="87" t="str">
        <f t="shared" ca="1" si="30"/>
        <v/>
      </c>
      <c r="AB108" s="95" t="str">
        <f t="shared" ca="1" si="31"/>
        <v/>
      </c>
      <c r="AC108" s="87"/>
      <c r="AD108" s="87"/>
      <c r="AE108" s="87"/>
      <c r="AF108" s="95" t="str">
        <f t="shared" ca="1" si="32"/>
        <v/>
      </c>
      <c r="AG108" s="91"/>
      <c r="AH108" s="87"/>
      <c r="AI108" s="87"/>
      <c r="AJ108" s="87"/>
      <c r="AK108" s="87"/>
      <c r="AL108" s="87"/>
      <c r="AM108" s="87"/>
      <c r="AN108" s="87"/>
      <c r="AO108" s="87"/>
      <c r="AP108" s="87"/>
      <c r="AQ108" s="87"/>
      <c r="AR108" s="87" t="str">
        <f t="shared" si="33"/>
        <v/>
      </c>
      <c r="AS108" s="91"/>
      <c r="AT108" s="91"/>
    </row>
    <row r="109" spans="1:46" x14ac:dyDescent="0.25">
      <c r="A109" s="90">
        <v>93</v>
      </c>
      <c r="B109" s="90" t="str">
        <f t="shared" ref="B109:B116" ca="1" si="43">IF($A19&lt;=$C$13,B108,"")</f>
        <v/>
      </c>
      <c r="C109" s="83">
        <f ca="1">IF(B109="",0,COUNTIF($C$17:C108,"&gt;0")+1)</f>
        <v>0</v>
      </c>
      <c r="D109" s="84"/>
      <c r="E109" s="84"/>
      <c r="F109" s="84"/>
      <c r="G109" s="84"/>
      <c r="H109" s="84"/>
      <c r="I109" s="84"/>
      <c r="J109" s="84"/>
      <c r="K109" s="84"/>
      <c r="L109" s="84"/>
      <c r="M109" s="84"/>
      <c r="N109" s="84"/>
      <c r="O109" s="84"/>
      <c r="P109" s="84"/>
      <c r="Q109" s="84"/>
      <c r="R109" s="83"/>
      <c r="S109" s="83" t="str">
        <f t="shared" ca="1" si="40"/>
        <v/>
      </c>
      <c r="T109" s="83" t="str">
        <f t="shared" ca="1" si="41"/>
        <v/>
      </c>
      <c r="U109" s="83" t="str">
        <f t="shared" ca="1" si="38"/>
        <v/>
      </c>
      <c r="V109" s="83"/>
      <c r="W109" s="83"/>
      <c r="X109" s="83" t="str">
        <f t="shared" ca="1" si="39"/>
        <v/>
      </c>
      <c r="Y109" s="83"/>
      <c r="Z109" s="101" t="str">
        <f t="shared" ca="1" si="42"/>
        <v/>
      </c>
      <c r="AA109" s="87" t="str">
        <f t="shared" ca="1" si="30"/>
        <v/>
      </c>
      <c r="AB109" s="95" t="str">
        <f t="shared" ca="1" si="31"/>
        <v/>
      </c>
      <c r="AC109" s="87"/>
      <c r="AD109" s="87"/>
      <c r="AE109" s="87"/>
      <c r="AF109" s="95" t="str">
        <f t="shared" ca="1" si="32"/>
        <v/>
      </c>
      <c r="AG109" s="91"/>
      <c r="AH109" s="87"/>
      <c r="AI109" s="87"/>
      <c r="AJ109" s="87"/>
      <c r="AK109" s="87"/>
      <c r="AL109" s="87"/>
      <c r="AM109" s="87"/>
      <c r="AN109" s="87"/>
      <c r="AO109" s="87"/>
      <c r="AP109" s="87"/>
      <c r="AQ109" s="87"/>
      <c r="AR109" s="87" t="str">
        <f t="shared" si="33"/>
        <v/>
      </c>
      <c r="AS109" s="91"/>
      <c r="AT109" s="91"/>
    </row>
    <row r="110" spans="1:46" x14ac:dyDescent="0.25">
      <c r="A110" s="90">
        <v>94</v>
      </c>
      <c r="B110" s="90" t="str">
        <f t="shared" ca="1" si="43"/>
        <v/>
      </c>
      <c r="C110" s="83">
        <f ca="1">IF(B110="",0,COUNTIF($C$17:C109,"&gt;0")+1)</f>
        <v>0</v>
      </c>
      <c r="D110" s="84"/>
      <c r="E110" s="84"/>
      <c r="F110" s="84"/>
      <c r="G110" s="84"/>
      <c r="H110" s="84"/>
      <c r="I110" s="84"/>
      <c r="J110" s="84"/>
      <c r="K110" s="84"/>
      <c r="L110" s="84"/>
      <c r="M110" s="84"/>
      <c r="N110" s="84"/>
      <c r="O110" s="84"/>
      <c r="P110" s="84"/>
      <c r="Q110" s="84"/>
      <c r="R110" s="83"/>
      <c r="S110" s="83" t="str">
        <f t="shared" ca="1" si="40"/>
        <v/>
      </c>
      <c r="T110" s="83" t="str">
        <f t="shared" ca="1" si="41"/>
        <v/>
      </c>
      <c r="U110" s="83" t="str">
        <f t="shared" ca="1" si="38"/>
        <v/>
      </c>
      <c r="V110" s="83"/>
      <c r="W110" s="83"/>
      <c r="X110" s="83" t="str">
        <f t="shared" ca="1" si="39"/>
        <v/>
      </c>
      <c r="Y110" s="83"/>
      <c r="Z110" s="101" t="str">
        <f t="shared" ca="1" si="42"/>
        <v/>
      </c>
      <c r="AA110" s="87" t="str">
        <f t="shared" ca="1" si="30"/>
        <v/>
      </c>
      <c r="AB110" s="95" t="str">
        <f t="shared" ca="1" si="31"/>
        <v/>
      </c>
      <c r="AC110" s="87"/>
      <c r="AD110" s="87"/>
      <c r="AE110" s="87"/>
      <c r="AF110" s="95" t="str">
        <f t="shared" ca="1" si="32"/>
        <v/>
      </c>
      <c r="AG110" s="91"/>
      <c r="AH110" s="87"/>
      <c r="AI110" s="87"/>
      <c r="AJ110" s="87"/>
      <c r="AK110" s="87"/>
      <c r="AL110" s="87"/>
      <c r="AM110" s="87"/>
      <c r="AN110" s="87"/>
      <c r="AO110" s="87"/>
      <c r="AP110" s="87"/>
      <c r="AQ110" s="87"/>
      <c r="AR110" s="87" t="str">
        <f t="shared" si="33"/>
        <v/>
      </c>
      <c r="AS110" s="91"/>
      <c r="AT110" s="91"/>
    </row>
    <row r="111" spans="1:46" x14ac:dyDescent="0.25">
      <c r="A111" s="90">
        <v>95</v>
      </c>
      <c r="B111" s="90" t="str">
        <f t="shared" ca="1" si="43"/>
        <v/>
      </c>
      <c r="C111" s="83">
        <f ca="1">IF(B111="",0,COUNTIF($C$17:C110,"&gt;0")+1)</f>
        <v>0</v>
      </c>
      <c r="D111" s="84"/>
      <c r="E111" s="84"/>
      <c r="F111" s="84"/>
      <c r="G111" s="84"/>
      <c r="H111" s="84"/>
      <c r="I111" s="84"/>
      <c r="J111" s="84"/>
      <c r="K111" s="84"/>
      <c r="L111" s="84"/>
      <c r="M111" s="84"/>
      <c r="N111" s="84"/>
      <c r="O111" s="84"/>
      <c r="P111" s="84"/>
      <c r="Q111" s="84"/>
      <c r="R111" s="83"/>
      <c r="S111" s="83" t="str">
        <f t="shared" ca="1" si="40"/>
        <v/>
      </c>
      <c r="T111" s="83" t="str">
        <f t="shared" ca="1" si="41"/>
        <v/>
      </c>
      <c r="U111" s="83" t="str">
        <f t="shared" ca="1" si="38"/>
        <v/>
      </c>
      <c r="V111" s="83"/>
      <c r="W111" s="83"/>
      <c r="X111" s="83" t="str">
        <f t="shared" ca="1" si="39"/>
        <v/>
      </c>
      <c r="Y111" s="83"/>
      <c r="Z111" s="101" t="str">
        <f t="shared" ca="1" si="42"/>
        <v/>
      </c>
      <c r="AA111" s="87" t="str">
        <f t="shared" ca="1" si="30"/>
        <v/>
      </c>
      <c r="AB111" s="95" t="str">
        <f t="shared" ca="1" si="31"/>
        <v/>
      </c>
      <c r="AC111" s="87"/>
      <c r="AD111" s="87"/>
      <c r="AE111" s="87"/>
      <c r="AF111" s="95" t="str">
        <f t="shared" ca="1" si="32"/>
        <v/>
      </c>
      <c r="AG111" s="91"/>
      <c r="AH111" s="87"/>
      <c r="AI111" s="87"/>
      <c r="AJ111" s="87"/>
      <c r="AK111" s="87"/>
      <c r="AL111" s="87"/>
      <c r="AM111" s="87"/>
      <c r="AN111" s="87"/>
      <c r="AO111" s="87"/>
      <c r="AP111" s="87"/>
      <c r="AQ111" s="87"/>
      <c r="AR111" s="87" t="str">
        <f t="shared" si="33"/>
        <v/>
      </c>
      <c r="AS111" s="91"/>
      <c r="AT111" s="91"/>
    </row>
    <row r="112" spans="1:46" x14ac:dyDescent="0.25">
      <c r="A112" s="90">
        <v>96</v>
      </c>
      <c r="B112" s="90" t="str">
        <f t="shared" ca="1" si="43"/>
        <v/>
      </c>
      <c r="C112" s="83">
        <f ca="1">IF(B112="",0,COUNTIF($C$17:C111,"&gt;0")+1)</f>
        <v>0</v>
      </c>
      <c r="D112" s="84"/>
      <c r="E112" s="84"/>
      <c r="F112" s="84"/>
      <c r="G112" s="84"/>
      <c r="H112" s="84"/>
      <c r="I112" s="84"/>
      <c r="J112" s="84"/>
      <c r="K112" s="84"/>
      <c r="L112" s="84"/>
      <c r="M112" s="84"/>
      <c r="N112" s="84"/>
      <c r="O112" s="84"/>
      <c r="P112" s="84"/>
      <c r="Q112" s="84"/>
      <c r="R112" s="83"/>
      <c r="S112" s="83" t="str">
        <f t="shared" ca="1" si="40"/>
        <v/>
      </c>
      <c r="T112" s="83" t="str">
        <f t="shared" ca="1" si="41"/>
        <v/>
      </c>
      <c r="U112" s="83" t="str">
        <f t="shared" ca="1" si="38"/>
        <v/>
      </c>
      <c r="V112" s="83"/>
      <c r="W112" s="83"/>
      <c r="X112" s="83" t="str">
        <f t="shared" ca="1" si="39"/>
        <v/>
      </c>
      <c r="Y112" s="83"/>
      <c r="Z112" s="101" t="str">
        <f t="shared" ca="1" si="42"/>
        <v/>
      </c>
      <c r="AA112" s="87" t="str">
        <f t="shared" ca="1" si="30"/>
        <v/>
      </c>
      <c r="AB112" s="95" t="str">
        <f t="shared" ca="1" si="31"/>
        <v/>
      </c>
      <c r="AC112" s="87"/>
      <c r="AD112" s="87"/>
      <c r="AE112" s="87"/>
      <c r="AF112" s="95" t="str">
        <f t="shared" ca="1" si="32"/>
        <v/>
      </c>
      <c r="AG112" s="91"/>
      <c r="AH112" s="87"/>
      <c r="AI112" s="87"/>
      <c r="AJ112" s="87"/>
      <c r="AK112" s="87"/>
      <c r="AL112" s="87"/>
      <c r="AM112" s="87"/>
      <c r="AN112" s="87"/>
      <c r="AO112" s="87"/>
      <c r="AP112" s="87"/>
      <c r="AQ112" s="87"/>
      <c r="AR112" s="87" t="str">
        <f t="shared" si="33"/>
        <v/>
      </c>
      <c r="AS112" s="91"/>
      <c r="AT112" s="91"/>
    </row>
    <row r="113" spans="1:46" x14ac:dyDescent="0.25">
      <c r="A113" s="90">
        <v>97</v>
      </c>
      <c r="B113" s="90" t="str">
        <f t="shared" ca="1" si="43"/>
        <v/>
      </c>
      <c r="C113" s="83">
        <f ca="1">IF(B113="",0,COUNTIF($C$17:C112,"&gt;0")+1)</f>
        <v>0</v>
      </c>
      <c r="D113" s="84"/>
      <c r="E113" s="84"/>
      <c r="F113" s="84"/>
      <c r="G113" s="84"/>
      <c r="H113" s="84"/>
      <c r="I113" s="84"/>
      <c r="J113" s="84"/>
      <c r="K113" s="84"/>
      <c r="L113" s="84"/>
      <c r="M113" s="84"/>
      <c r="N113" s="84"/>
      <c r="O113" s="84"/>
      <c r="P113" s="84"/>
      <c r="Q113" s="84"/>
      <c r="R113" s="83"/>
      <c r="S113" s="83" t="str">
        <f t="shared" ca="1" si="40"/>
        <v/>
      </c>
      <c r="T113" s="83" t="str">
        <f t="shared" ca="1" si="41"/>
        <v/>
      </c>
      <c r="U113" s="83" t="str">
        <f t="shared" ca="1" si="38"/>
        <v/>
      </c>
      <c r="V113" s="83"/>
      <c r="W113" s="83"/>
      <c r="X113" s="83" t="str">
        <f t="shared" ca="1" si="39"/>
        <v/>
      </c>
      <c r="Y113" s="83"/>
      <c r="Z113" s="101" t="str">
        <f t="shared" ca="1" si="42"/>
        <v/>
      </c>
      <c r="AA113" s="87" t="str">
        <f t="shared" ca="1" si="30"/>
        <v/>
      </c>
      <c r="AB113" s="95" t="str">
        <f t="shared" ca="1" si="31"/>
        <v/>
      </c>
      <c r="AC113" s="87"/>
      <c r="AD113" s="87"/>
      <c r="AE113" s="87"/>
      <c r="AF113" s="95" t="str">
        <f t="shared" ca="1" si="32"/>
        <v/>
      </c>
      <c r="AG113" s="91"/>
      <c r="AH113" s="87"/>
      <c r="AI113" s="87"/>
      <c r="AJ113" s="87"/>
      <c r="AK113" s="87"/>
      <c r="AL113" s="87"/>
      <c r="AM113" s="87"/>
      <c r="AN113" s="87"/>
      <c r="AO113" s="87"/>
      <c r="AP113" s="87"/>
      <c r="AQ113" s="87"/>
      <c r="AR113" s="87" t="str">
        <f t="shared" si="33"/>
        <v/>
      </c>
      <c r="AS113" s="91"/>
      <c r="AT113" s="91"/>
    </row>
    <row r="114" spans="1:46" x14ac:dyDescent="0.25">
      <c r="A114" s="90">
        <v>98</v>
      </c>
      <c r="B114" s="90" t="str">
        <f t="shared" ca="1" si="43"/>
        <v/>
      </c>
      <c r="C114" s="83">
        <f ca="1">IF(B114="",0,COUNTIF($C$17:C113,"&gt;0")+1)</f>
        <v>0</v>
      </c>
      <c r="D114" s="84"/>
      <c r="E114" s="84"/>
      <c r="F114" s="84"/>
      <c r="G114" s="84"/>
      <c r="H114" s="84"/>
      <c r="I114" s="84"/>
      <c r="J114" s="84"/>
      <c r="K114" s="84"/>
      <c r="L114" s="84"/>
      <c r="M114" s="84"/>
      <c r="N114" s="84"/>
      <c r="O114" s="84"/>
      <c r="P114" s="84"/>
      <c r="Q114" s="84"/>
      <c r="R114" s="83"/>
      <c r="S114" s="83" t="str">
        <f t="shared" ref="S114:W116" ca="1" si="44">IFERROR(LARGE($V$4:$V$113,T114),"")</f>
        <v/>
      </c>
      <c r="T114" s="83" t="str">
        <f t="shared" ca="1" si="44"/>
        <v/>
      </c>
      <c r="U114" s="83" t="str">
        <f t="shared" ca="1" si="44"/>
        <v/>
      </c>
      <c r="V114" s="83" t="str">
        <f t="shared" ca="1" si="44"/>
        <v/>
      </c>
      <c r="W114" s="83" t="str">
        <f t="shared" ca="1" si="44"/>
        <v/>
      </c>
      <c r="X114" s="83" t="str">
        <f t="shared" ca="1" si="39"/>
        <v/>
      </c>
      <c r="Y114" s="83"/>
      <c r="Z114" s="84" t="str">
        <f t="shared" ref="Z114:AE115" ca="1" si="45">IFERROR(LARGE($V$4:$V$113,AA114),"")</f>
        <v/>
      </c>
      <c r="AA114" s="84" t="str">
        <f t="shared" ca="1" si="45"/>
        <v/>
      </c>
      <c r="AB114" s="84" t="str">
        <f t="shared" ca="1" si="45"/>
        <v/>
      </c>
      <c r="AC114" s="84" t="str">
        <f t="shared" ca="1" si="45"/>
        <v/>
      </c>
      <c r="AD114" s="84" t="str">
        <f t="shared" ca="1" si="45"/>
        <v/>
      </c>
      <c r="AE114" s="84" t="str">
        <f t="shared" ca="1" si="45"/>
        <v/>
      </c>
      <c r="AF114" s="91"/>
      <c r="AG114" s="91"/>
      <c r="AH114" s="91"/>
      <c r="AI114" s="91"/>
      <c r="AJ114" s="91"/>
      <c r="AK114" s="91"/>
      <c r="AL114" s="91"/>
      <c r="AM114" s="91"/>
      <c r="AN114" s="91"/>
      <c r="AO114" s="91"/>
      <c r="AP114" s="91"/>
      <c r="AQ114" s="91"/>
      <c r="AR114" s="91"/>
      <c r="AS114" s="91"/>
      <c r="AT114" s="91"/>
    </row>
    <row r="115" spans="1:46" x14ac:dyDescent="0.25">
      <c r="A115" s="90">
        <v>99</v>
      </c>
      <c r="B115" s="90" t="str">
        <f t="shared" ca="1" si="43"/>
        <v/>
      </c>
      <c r="C115" s="83">
        <f ca="1">IF(B115="",0,COUNTIF($C$17:C114,"&gt;0")+1)</f>
        <v>0</v>
      </c>
      <c r="D115" s="84"/>
      <c r="E115" s="84"/>
      <c r="F115" s="84"/>
      <c r="G115" s="84"/>
      <c r="H115" s="84"/>
      <c r="I115" s="84"/>
      <c r="J115" s="84"/>
      <c r="K115" s="84"/>
      <c r="L115" s="84"/>
      <c r="M115" s="84"/>
      <c r="N115" s="84"/>
      <c r="O115" s="84"/>
      <c r="P115" s="84"/>
      <c r="Q115" s="84"/>
      <c r="R115" s="83"/>
      <c r="S115" s="83" t="str">
        <f t="shared" ca="1" si="44"/>
        <v/>
      </c>
      <c r="T115" s="83" t="str">
        <f t="shared" ca="1" si="44"/>
        <v/>
      </c>
      <c r="U115" s="83" t="str">
        <f t="shared" ca="1" si="44"/>
        <v/>
      </c>
      <c r="V115" s="83" t="str">
        <f t="shared" ca="1" si="44"/>
        <v/>
      </c>
      <c r="W115" s="83" t="str">
        <f t="shared" ca="1" si="44"/>
        <v/>
      </c>
      <c r="X115" s="83" t="str">
        <f t="shared" ca="1" si="39"/>
        <v/>
      </c>
      <c r="Y115" s="83"/>
      <c r="Z115" s="84" t="str">
        <f t="shared" ca="1" si="45"/>
        <v/>
      </c>
      <c r="AA115" s="84" t="str">
        <f t="shared" ca="1" si="45"/>
        <v/>
      </c>
      <c r="AB115" s="84" t="str">
        <f t="shared" ca="1" si="45"/>
        <v/>
      </c>
      <c r="AC115" s="84" t="str">
        <f t="shared" ca="1" si="45"/>
        <v/>
      </c>
      <c r="AD115" s="84" t="str">
        <f t="shared" ca="1" si="45"/>
        <v/>
      </c>
      <c r="AE115" s="84" t="str">
        <f t="shared" ca="1" si="45"/>
        <v/>
      </c>
      <c r="AF115" s="91"/>
      <c r="AG115" s="91"/>
      <c r="AH115" s="91"/>
      <c r="AI115" s="91"/>
      <c r="AJ115" s="91"/>
      <c r="AK115" s="91"/>
      <c r="AL115" s="91"/>
      <c r="AM115" s="91"/>
      <c r="AN115" s="91"/>
      <c r="AO115" s="91"/>
      <c r="AP115" s="91"/>
      <c r="AQ115" s="91"/>
      <c r="AR115" s="91"/>
      <c r="AS115" s="91"/>
      <c r="AT115" s="91"/>
    </row>
    <row r="116" spans="1:46" x14ac:dyDescent="0.25">
      <c r="A116" s="90">
        <v>100</v>
      </c>
      <c r="B116" s="90" t="str">
        <f t="shared" ca="1" si="43"/>
        <v/>
      </c>
      <c r="C116" s="83">
        <f ca="1">IF(B116="",0,COUNTIF($C$17:C115,"&gt;0")+1)</f>
        <v>0</v>
      </c>
      <c r="D116" s="84"/>
      <c r="E116" s="84"/>
      <c r="F116" s="84"/>
      <c r="G116" s="84"/>
      <c r="H116" s="84"/>
      <c r="I116" s="84"/>
      <c r="J116" s="84"/>
      <c r="K116" s="84"/>
      <c r="L116" s="84"/>
      <c r="M116" s="84"/>
      <c r="N116" s="84"/>
      <c r="O116" s="84"/>
      <c r="P116" s="84"/>
      <c r="Q116" s="84"/>
      <c r="R116" s="83"/>
      <c r="S116" s="83" t="str">
        <f t="shared" ca="1" si="44"/>
        <v/>
      </c>
      <c r="T116" s="83" t="str">
        <f t="shared" ca="1" si="44"/>
        <v/>
      </c>
      <c r="U116" s="83" t="str">
        <f t="shared" ca="1" si="44"/>
        <v/>
      </c>
      <c r="V116" s="83" t="str">
        <f t="shared" ca="1" si="44"/>
        <v/>
      </c>
      <c r="W116" s="83" t="str">
        <f t="shared" ca="1" si="44"/>
        <v/>
      </c>
      <c r="X116" s="83" t="str">
        <f t="shared" ca="1" si="39"/>
        <v/>
      </c>
      <c r="Y116" s="83"/>
      <c r="Z116" s="84" t="str">
        <f t="shared" ref="Z116" ca="1" si="46">IFERROR(LARGE($V$4:$V$113,AA116),"")</f>
        <v/>
      </c>
      <c r="AA116" s="84" t="str">
        <f t="shared" ref="AA116:AE117" ca="1" si="47">IFERROR(LARGE($V$4:$V$113,AB116),"")</f>
        <v/>
      </c>
      <c r="AB116" s="84" t="str">
        <f t="shared" ca="1" si="47"/>
        <v/>
      </c>
      <c r="AC116" s="84" t="str">
        <f t="shared" ca="1" si="47"/>
        <v/>
      </c>
      <c r="AD116" s="84" t="str">
        <f t="shared" ca="1" si="47"/>
        <v/>
      </c>
      <c r="AE116" s="84" t="str">
        <f t="shared" ca="1" si="47"/>
        <v/>
      </c>
      <c r="AF116" s="91"/>
      <c r="AG116" s="91"/>
      <c r="AH116" s="91"/>
      <c r="AI116" s="91"/>
      <c r="AJ116" s="91"/>
      <c r="AK116" s="91"/>
      <c r="AL116" s="91"/>
      <c r="AM116" s="91"/>
      <c r="AN116" s="91"/>
      <c r="AO116" s="91"/>
      <c r="AP116" s="91"/>
      <c r="AQ116" s="91"/>
      <c r="AR116" s="91"/>
      <c r="AS116" s="91"/>
      <c r="AT116" s="91"/>
    </row>
    <row r="117" spans="1:46" x14ac:dyDescent="0.25">
      <c r="A117" s="91"/>
      <c r="B117" s="91"/>
      <c r="C117" s="83"/>
      <c r="D117" s="84"/>
      <c r="E117" s="84"/>
      <c r="F117" s="84"/>
      <c r="G117" s="84"/>
      <c r="H117" s="84"/>
      <c r="I117" s="84"/>
      <c r="J117" s="84"/>
      <c r="K117" s="84"/>
      <c r="L117" s="84"/>
      <c r="M117" s="84"/>
      <c r="N117" s="84"/>
      <c r="O117" s="84"/>
      <c r="P117" s="84"/>
      <c r="Q117" s="84"/>
      <c r="R117" s="84"/>
      <c r="S117" s="84"/>
      <c r="T117" s="84"/>
      <c r="U117" s="84"/>
      <c r="V117" s="84"/>
      <c r="W117" s="84"/>
      <c r="X117" s="84" t="str">
        <f t="shared" ca="1" si="39"/>
        <v/>
      </c>
      <c r="Y117" s="84"/>
      <c r="Z117" s="84" t="str">
        <f ca="1">IFERROR(LARGE($V$4:$V$113,AA117),"")</f>
        <v/>
      </c>
      <c r="AA117" s="84" t="str">
        <f t="shared" ca="1" si="47"/>
        <v/>
      </c>
      <c r="AB117" s="84" t="str">
        <f t="shared" ca="1" si="47"/>
        <v/>
      </c>
      <c r="AC117" s="84" t="str">
        <f t="shared" ca="1" si="47"/>
        <v/>
      </c>
      <c r="AD117" s="84" t="str">
        <f t="shared" ca="1" si="47"/>
        <v/>
      </c>
      <c r="AE117" s="84" t="str">
        <f t="shared" ca="1" si="47"/>
        <v/>
      </c>
      <c r="AF117" s="91"/>
      <c r="AG117" s="91"/>
      <c r="AH117" s="91"/>
      <c r="AI117" s="91"/>
      <c r="AJ117" s="91"/>
      <c r="AK117" s="91"/>
      <c r="AL117" s="91"/>
      <c r="AM117" s="91"/>
      <c r="AN117" s="91"/>
      <c r="AO117" s="91"/>
      <c r="AP117" s="91"/>
      <c r="AQ117" s="91"/>
      <c r="AR117" s="91"/>
      <c r="AS117" s="91"/>
      <c r="AT117" s="91"/>
    </row>
  </sheetData>
  <mergeCells count="8">
    <mergeCell ref="AH2:AQ2"/>
    <mergeCell ref="AR2:AR3"/>
    <mergeCell ref="A1:B1"/>
    <mergeCell ref="C1:D1"/>
    <mergeCell ref="A14:B14"/>
    <mergeCell ref="E1:H1"/>
    <mergeCell ref="A2:B2"/>
    <mergeCell ref="C2:D2"/>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EncCalc!$K$2:$K$11</xm:f>
          </x14:formula1>
          <xm:sqref>C1:D1</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L201"/>
  <sheetViews>
    <sheetView zoomScale="115" zoomScaleNormal="115" workbookViewId="0">
      <selection activeCell="M8" sqref="M8"/>
    </sheetView>
  </sheetViews>
  <sheetFormatPr defaultRowHeight="15" x14ac:dyDescent="0.25"/>
  <cols>
    <col min="1" max="1" width="8.28515625" style="92" bestFit="1" customWidth="1"/>
    <col min="2" max="2" width="5.7109375" style="92" bestFit="1" customWidth="1"/>
    <col min="3" max="3" width="8.7109375" style="92" bestFit="1" customWidth="1"/>
    <col min="4" max="4" width="11.140625" style="92" bestFit="1" customWidth="1"/>
    <col min="5" max="5" width="6.7109375" style="92" bestFit="1" customWidth="1"/>
    <col min="6" max="6" width="6.28515625" style="92" bestFit="1" customWidth="1"/>
    <col min="7" max="7" width="9.7109375" style="92" bestFit="1" customWidth="1"/>
    <col min="8" max="8" width="10.28515625" style="92" bestFit="1" customWidth="1"/>
    <col min="9" max="9" width="3.42578125" style="92" bestFit="1" customWidth="1"/>
    <col min="10" max="16384" width="9.140625" style="92"/>
  </cols>
  <sheetData>
    <row r="1" spans="1:12" ht="16.5" thickTop="1" thickBot="1" x14ac:dyDescent="0.3">
      <c r="A1" s="116" t="s">
        <v>24</v>
      </c>
      <c r="B1" s="116" t="s">
        <v>894</v>
      </c>
      <c r="C1" s="116" t="s">
        <v>895</v>
      </c>
      <c r="D1" s="115" t="s">
        <v>896</v>
      </c>
      <c r="E1" s="121" t="s">
        <v>897</v>
      </c>
      <c r="F1" s="113" t="s">
        <v>46</v>
      </c>
      <c r="G1" s="114" t="s">
        <v>898</v>
      </c>
      <c r="H1" s="115" t="s">
        <v>899</v>
      </c>
      <c r="I1" s="126">
        <v>0</v>
      </c>
      <c r="J1" s="111"/>
      <c r="K1" s="111"/>
      <c r="L1" s="112"/>
    </row>
    <row r="2" spans="1:12" ht="16.5" thickTop="1" thickBot="1" x14ac:dyDescent="0.3">
      <c r="A2" s="117">
        <v>1</v>
      </c>
      <c r="B2" s="118">
        <v>20</v>
      </c>
      <c r="C2" s="118">
        <v>3</v>
      </c>
      <c r="D2" s="119" t="s">
        <v>907</v>
      </c>
      <c r="E2" s="122">
        <v>10</v>
      </c>
      <c r="F2" s="120"/>
      <c r="G2" s="120"/>
      <c r="H2" s="114"/>
      <c r="I2" s="113"/>
      <c r="J2" s="114"/>
      <c r="K2" s="114"/>
      <c r="L2" s="115"/>
    </row>
    <row r="3" spans="1:12" ht="4.5" customHeight="1" thickTop="1" thickBot="1" x14ac:dyDescent="0.3">
      <c r="A3" s="93"/>
      <c r="B3" s="94"/>
      <c r="C3" s="94"/>
      <c r="D3" s="94"/>
      <c r="E3" s="94"/>
      <c r="F3" s="94"/>
      <c r="G3" s="94"/>
      <c r="H3" s="94"/>
      <c r="I3" s="111"/>
      <c r="J3" s="111"/>
      <c r="K3" s="116"/>
      <c r="L3" s="116"/>
    </row>
    <row r="4" spans="1:12" ht="15.75" thickTop="1" x14ac:dyDescent="0.25">
      <c r="A4" s="123" t="str">
        <f xml:space="preserve"> " # " &amp; ROW()-3</f>
        <v xml:space="preserve"> # 1</v>
      </c>
      <c r="B4" s="123"/>
      <c r="C4" s="123"/>
      <c r="D4" s="124"/>
      <c r="E4" s="124"/>
      <c r="F4" s="125"/>
      <c r="G4" s="125"/>
      <c r="H4" s="124"/>
      <c r="I4" s="102"/>
      <c r="J4" s="103"/>
      <c r="K4" s="103"/>
      <c r="L4" s="104"/>
    </row>
    <row r="5" spans="1:12" x14ac:dyDescent="0.25">
      <c r="A5" s="123" t="str">
        <f t="shared" ref="A5:A68" si="0" xml:space="preserve"> " # " &amp; ROW()-3</f>
        <v xml:space="preserve"> # 2</v>
      </c>
      <c r="B5" s="123"/>
      <c r="C5" s="123"/>
      <c r="D5" s="124"/>
      <c r="E5" s="124"/>
      <c r="F5" s="125"/>
      <c r="G5" s="125"/>
      <c r="H5" s="124"/>
      <c r="I5" s="105"/>
      <c r="J5" s="106"/>
      <c r="K5" s="106"/>
      <c r="L5" s="107"/>
    </row>
    <row r="6" spans="1:12" x14ac:dyDescent="0.25">
      <c r="A6" s="123" t="str">
        <f t="shared" si="0"/>
        <v xml:space="preserve"> # 3</v>
      </c>
      <c r="B6" s="123"/>
      <c r="C6" s="123"/>
      <c r="D6" s="124"/>
      <c r="E6" s="124"/>
      <c r="F6" s="125"/>
      <c r="G6" s="125"/>
      <c r="H6" s="124"/>
      <c r="I6" s="105"/>
      <c r="J6" s="106"/>
      <c r="K6" s="106"/>
      <c r="L6" s="107"/>
    </row>
    <row r="7" spans="1:12" x14ac:dyDescent="0.25">
      <c r="A7" s="123" t="str">
        <f t="shared" si="0"/>
        <v xml:space="preserve"> # 4</v>
      </c>
      <c r="B7" s="123"/>
      <c r="C7" s="123"/>
      <c r="D7" s="124"/>
      <c r="E7" s="124"/>
      <c r="F7" s="125"/>
      <c r="G7" s="125"/>
      <c r="H7" s="124"/>
      <c r="I7" s="105"/>
      <c r="J7" s="106"/>
      <c r="K7" s="106"/>
      <c r="L7" s="107"/>
    </row>
    <row r="8" spans="1:12" x14ac:dyDescent="0.25">
      <c r="A8" s="123" t="str">
        <f t="shared" si="0"/>
        <v xml:space="preserve"> # 5</v>
      </c>
      <c r="B8" s="123"/>
      <c r="C8" s="123"/>
      <c r="D8" s="124"/>
      <c r="E8" s="124"/>
      <c r="F8" s="125"/>
      <c r="G8" s="125"/>
      <c r="H8" s="124"/>
      <c r="I8" s="105"/>
      <c r="J8" s="106"/>
      <c r="K8" s="106"/>
      <c r="L8" s="107"/>
    </row>
    <row r="9" spans="1:12" x14ac:dyDescent="0.25">
      <c r="A9" s="123" t="str">
        <f t="shared" si="0"/>
        <v xml:space="preserve"> # 6</v>
      </c>
      <c r="B9" s="123"/>
      <c r="C9" s="123"/>
      <c r="D9" s="124"/>
      <c r="E9" s="124"/>
      <c r="F9" s="125"/>
      <c r="G9" s="125"/>
      <c r="H9" s="124"/>
      <c r="I9" s="105"/>
      <c r="J9" s="106"/>
      <c r="K9" s="106"/>
      <c r="L9" s="107"/>
    </row>
    <row r="10" spans="1:12" x14ac:dyDescent="0.25">
      <c r="A10" s="123" t="str">
        <f t="shared" si="0"/>
        <v xml:space="preserve"> # 7</v>
      </c>
      <c r="B10" s="123"/>
      <c r="C10" s="123"/>
      <c r="D10" s="124"/>
      <c r="E10" s="124"/>
      <c r="F10" s="125"/>
      <c r="G10" s="125"/>
      <c r="H10" s="124"/>
      <c r="I10" s="105"/>
      <c r="J10" s="106"/>
      <c r="K10" s="106"/>
      <c r="L10" s="107"/>
    </row>
    <row r="11" spans="1:12" x14ac:dyDescent="0.25">
      <c r="A11" s="123" t="str">
        <f t="shared" si="0"/>
        <v xml:space="preserve"> # 8</v>
      </c>
      <c r="B11" s="123"/>
      <c r="C11" s="123"/>
      <c r="D11" s="124"/>
      <c r="E11" s="124"/>
      <c r="F11" s="125"/>
      <c r="G11" s="125"/>
      <c r="H11" s="124"/>
      <c r="I11" s="105"/>
      <c r="J11" s="106"/>
      <c r="K11" s="106"/>
      <c r="L11" s="107"/>
    </row>
    <row r="12" spans="1:12" x14ac:dyDescent="0.25">
      <c r="A12" s="123" t="str">
        <f t="shared" si="0"/>
        <v xml:space="preserve"> # 9</v>
      </c>
      <c r="B12" s="123"/>
      <c r="C12" s="123"/>
      <c r="D12" s="124"/>
      <c r="E12" s="124"/>
      <c r="F12" s="125"/>
      <c r="G12" s="125"/>
      <c r="H12" s="124"/>
      <c r="I12" s="105"/>
      <c r="J12" s="106"/>
      <c r="K12" s="106"/>
      <c r="L12" s="107"/>
    </row>
    <row r="13" spans="1:12" x14ac:dyDescent="0.25">
      <c r="A13" s="123" t="str">
        <f t="shared" si="0"/>
        <v xml:space="preserve"> # 10</v>
      </c>
      <c r="B13" s="123"/>
      <c r="C13" s="123"/>
      <c r="D13" s="124"/>
      <c r="E13" s="124"/>
      <c r="F13" s="125"/>
      <c r="G13" s="125"/>
      <c r="H13" s="124"/>
      <c r="I13" s="105"/>
      <c r="J13" s="106"/>
      <c r="K13" s="106"/>
      <c r="L13" s="107"/>
    </row>
    <row r="14" spans="1:12" x14ac:dyDescent="0.25">
      <c r="A14" s="123" t="str">
        <f t="shared" si="0"/>
        <v xml:space="preserve"> # 11</v>
      </c>
      <c r="B14" s="123"/>
      <c r="C14" s="123"/>
      <c r="D14" s="124"/>
      <c r="E14" s="124"/>
      <c r="F14" s="125"/>
      <c r="G14" s="125"/>
      <c r="H14" s="124"/>
      <c r="I14" s="105"/>
      <c r="J14" s="106"/>
      <c r="K14" s="106"/>
      <c r="L14" s="107"/>
    </row>
    <row r="15" spans="1:12" x14ac:dyDescent="0.25">
      <c r="A15" s="123" t="str">
        <f t="shared" si="0"/>
        <v xml:space="preserve"> # 12</v>
      </c>
      <c r="B15" s="123"/>
      <c r="C15" s="123"/>
      <c r="D15" s="124"/>
      <c r="E15" s="124"/>
      <c r="F15" s="125"/>
      <c r="G15" s="125"/>
      <c r="H15" s="124"/>
      <c r="I15" s="105"/>
      <c r="J15" s="106"/>
      <c r="K15" s="106"/>
      <c r="L15" s="107"/>
    </row>
    <row r="16" spans="1:12" x14ac:dyDescent="0.25">
      <c r="A16" s="123" t="str">
        <f t="shared" si="0"/>
        <v xml:space="preserve"> # 13</v>
      </c>
      <c r="B16" s="123"/>
      <c r="C16" s="123"/>
      <c r="D16" s="124"/>
      <c r="E16" s="124"/>
      <c r="F16" s="125"/>
      <c r="G16" s="125"/>
      <c r="H16" s="124"/>
      <c r="I16" s="105"/>
      <c r="J16" s="106"/>
      <c r="K16" s="106"/>
      <c r="L16" s="107"/>
    </row>
    <row r="17" spans="1:12" x14ac:dyDescent="0.25">
      <c r="A17" s="123" t="str">
        <f t="shared" si="0"/>
        <v xml:space="preserve"> # 14</v>
      </c>
      <c r="B17" s="123"/>
      <c r="C17" s="123"/>
      <c r="D17" s="124"/>
      <c r="E17" s="124"/>
      <c r="F17" s="125"/>
      <c r="G17" s="125"/>
      <c r="H17" s="124"/>
      <c r="I17" s="105"/>
      <c r="J17" s="106"/>
      <c r="K17" s="106"/>
      <c r="L17" s="107"/>
    </row>
    <row r="18" spans="1:12" x14ac:dyDescent="0.25">
      <c r="A18" s="123" t="str">
        <f t="shared" si="0"/>
        <v xml:space="preserve"> # 15</v>
      </c>
      <c r="B18" s="123"/>
      <c r="C18" s="123"/>
      <c r="D18" s="124"/>
      <c r="E18" s="124"/>
      <c r="F18" s="125"/>
      <c r="G18" s="125"/>
      <c r="H18" s="124"/>
      <c r="I18" s="105"/>
      <c r="J18" s="106"/>
      <c r="K18" s="106"/>
      <c r="L18" s="107"/>
    </row>
    <row r="19" spans="1:12" x14ac:dyDescent="0.25">
      <c r="A19" s="123" t="str">
        <f t="shared" si="0"/>
        <v xml:space="preserve"> # 16</v>
      </c>
      <c r="B19" s="123"/>
      <c r="C19" s="123"/>
      <c r="D19" s="124"/>
      <c r="E19" s="124"/>
      <c r="F19" s="125"/>
      <c r="G19" s="125"/>
      <c r="H19" s="124"/>
      <c r="I19" s="105"/>
      <c r="J19" s="106"/>
      <c r="K19" s="106"/>
      <c r="L19" s="107"/>
    </row>
    <row r="20" spans="1:12" x14ac:dyDescent="0.25">
      <c r="A20" s="123" t="str">
        <f t="shared" si="0"/>
        <v xml:space="preserve"> # 17</v>
      </c>
      <c r="B20" s="123"/>
      <c r="C20" s="123"/>
      <c r="D20" s="124"/>
      <c r="E20" s="124"/>
      <c r="F20" s="125"/>
      <c r="G20" s="125"/>
      <c r="H20" s="124"/>
      <c r="I20" s="105"/>
      <c r="J20" s="106"/>
      <c r="K20" s="106"/>
      <c r="L20" s="107"/>
    </row>
    <row r="21" spans="1:12" x14ac:dyDescent="0.25">
      <c r="A21" s="123" t="str">
        <f t="shared" si="0"/>
        <v xml:space="preserve"> # 18</v>
      </c>
      <c r="B21" s="123"/>
      <c r="C21" s="123"/>
      <c r="D21" s="124"/>
      <c r="E21" s="124"/>
      <c r="F21" s="125"/>
      <c r="G21" s="125"/>
      <c r="H21" s="124"/>
      <c r="I21" s="105"/>
      <c r="J21" s="106"/>
      <c r="K21" s="106"/>
      <c r="L21" s="107"/>
    </row>
    <row r="22" spans="1:12" x14ac:dyDescent="0.25">
      <c r="A22" s="123" t="str">
        <f t="shared" si="0"/>
        <v xml:space="preserve"> # 19</v>
      </c>
      <c r="B22" s="123"/>
      <c r="C22" s="123"/>
      <c r="D22" s="124"/>
      <c r="E22" s="124"/>
      <c r="F22" s="125"/>
      <c r="G22" s="125"/>
      <c r="H22" s="124"/>
      <c r="I22" s="105"/>
      <c r="J22" s="106"/>
      <c r="K22" s="106"/>
      <c r="L22" s="107"/>
    </row>
    <row r="23" spans="1:12" x14ac:dyDescent="0.25">
      <c r="A23" s="123" t="str">
        <f t="shared" si="0"/>
        <v xml:space="preserve"> # 20</v>
      </c>
      <c r="B23" s="123"/>
      <c r="C23" s="123"/>
      <c r="D23" s="124"/>
      <c r="E23" s="124"/>
      <c r="F23" s="125"/>
      <c r="G23" s="125"/>
      <c r="H23" s="124"/>
      <c r="I23" s="105"/>
      <c r="J23" s="106"/>
      <c r="K23" s="106"/>
      <c r="L23" s="107"/>
    </row>
    <row r="24" spans="1:12" x14ac:dyDescent="0.25">
      <c r="A24" s="123" t="str">
        <f t="shared" si="0"/>
        <v xml:space="preserve"> # 21</v>
      </c>
      <c r="B24" s="123"/>
      <c r="C24" s="123"/>
      <c r="D24" s="124"/>
      <c r="E24" s="124"/>
      <c r="F24" s="125"/>
      <c r="G24" s="125"/>
      <c r="H24" s="124"/>
      <c r="I24" s="105"/>
      <c r="J24" s="106"/>
      <c r="K24" s="106"/>
      <c r="L24" s="107"/>
    </row>
    <row r="25" spans="1:12" x14ac:dyDescent="0.25">
      <c r="A25" s="123" t="str">
        <f t="shared" si="0"/>
        <v xml:space="preserve"> # 22</v>
      </c>
      <c r="B25" s="123"/>
      <c r="C25" s="123"/>
      <c r="D25" s="124"/>
      <c r="E25" s="124"/>
      <c r="F25" s="125"/>
      <c r="G25" s="125"/>
      <c r="H25" s="124"/>
      <c r="I25" s="105"/>
      <c r="J25" s="106"/>
      <c r="K25" s="106"/>
      <c r="L25" s="107"/>
    </row>
    <row r="26" spans="1:12" x14ac:dyDescent="0.25">
      <c r="A26" s="123" t="str">
        <f t="shared" si="0"/>
        <v xml:space="preserve"> # 23</v>
      </c>
      <c r="B26" s="123"/>
      <c r="C26" s="123"/>
      <c r="D26" s="124"/>
      <c r="E26" s="124"/>
      <c r="F26" s="125"/>
      <c r="G26" s="125"/>
      <c r="H26" s="124"/>
      <c r="I26" s="105"/>
      <c r="J26" s="106"/>
      <c r="K26" s="106"/>
      <c r="L26" s="107"/>
    </row>
    <row r="27" spans="1:12" x14ac:dyDescent="0.25">
      <c r="A27" s="123" t="str">
        <f t="shared" si="0"/>
        <v xml:space="preserve"> # 24</v>
      </c>
      <c r="B27" s="123"/>
      <c r="C27" s="123"/>
      <c r="D27" s="124"/>
      <c r="E27" s="124"/>
      <c r="F27" s="125"/>
      <c r="G27" s="125"/>
      <c r="H27" s="124"/>
      <c r="I27" s="105"/>
      <c r="J27" s="106"/>
      <c r="K27" s="106"/>
      <c r="L27" s="107"/>
    </row>
    <row r="28" spans="1:12" x14ac:dyDescent="0.25">
      <c r="A28" s="123" t="str">
        <f t="shared" si="0"/>
        <v xml:space="preserve"> # 25</v>
      </c>
      <c r="B28" s="123"/>
      <c r="C28" s="123"/>
      <c r="D28" s="124"/>
      <c r="E28" s="124"/>
      <c r="F28" s="125"/>
      <c r="G28" s="125"/>
      <c r="H28" s="124"/>
      <c r="I28" s="105"/>
      <c r="J28" s="106"/>
      <c r="K28" s="106"/>
      <c r="L28" s="107"/>
    </row>
    <row r="29" spans="1:12" x14ac:dyDescent="0.25">
      <c r="A29" s="123" t="str">
        <f t="shared" si="0"/>
        <v xml:space="preserve"> # 26</v>
      </c>
      <c r="B29" s="123"/>
      <c r="C29" s="123"/>
      <c r="D29" s="124"/>
      <c r="E29" s="124"/>
      <c r="F29" s="125"/>
      <c r="G29" s="125"/>
      <c r="H29" s="124"/>
      <c r="I29" s="105"/>
      <c r="J29" s="106"/>
      <c r="K29" s="106"/>
      <c r="L29" s="107"/>
    </row>
    <row r="30" spans="1:12" x14ac:dyDescent="0.25">
      <c r="A30" s="123" t="str">
        <f t="shared" si="0"/>
        <v xml:space="preserve"> # 27</v>
      </c>
      <c r="B30" s="123"/>
      <c r="C30" s="123"/>
      <c r="D30" s="124"/>
      <c r="E30" s="124"/>
      <c r="F30" s="125"/>
      <c r="G30" s="125"/>
      <c r="H30" s="124"/>
      <c r="I30" s="105"/>
      <c r="J30" s="106"/>
      <c r="K30" s="106"/>
      <c r="L30" s="107"/>
    </row>
    <row r="31" spans="1:12" x14ac:dyDescent="0.25">
      <c r="A31" s="123" t="str">
        <f t="shared" si="0"/>
        <v xml:space="preserve"> # 28</v>
      </c>
      <c r="B31" s="123"/>
      <c r="C31" s="123"/>
      <c r="D31" s="124"/>
      <c r="E31" s="124"/>
      <c r="F31" s="125"/>
      <c r="G31" s="125"/>
      <c r="H31" s="124"/>
      <c r="I31" s="105"/>
      <c r="J31" s="106"/>
      <c r="K31" s="106"/>
      <c r="L31" s="107"/>
    </row>
    <row r="32" spans="1:12" x14ac:dyDescent="0.25">
      <c r="A32" s="123" t="str">
        <f t="shared" si="0"/>
        <v xml:space="preserve"> # 29</v>
      </c>
      <c r="B32" s="123"/>
      <c r="C32" s="123"/>
      <c r="D32" s="124"/>
      <c r="E32" s="124"/>
      <c r="F32" s="125"/>
      <c r="G32" s="125"/>
      <c r="H32" s="124"/>
      <c r="I32" s="105"/>
      <c r="J32" s="106"/>
      <c r="K32" s="106"/>
      <c r="L32" s="107"/>
    </row>
    <row r="33" spans="1:12" x14ac:dyDescent="0.25">
      <c r="A33" s="123" t="str">
        <f t="shared" si="0"/>
        <v xml:space="preserve"> # 30</v>
      </c>
      <c r="B33" s="123"/>
      <c r="C33" s="123"/>
      <c r="D33" s="124"/>
      <c r="E33" s="124"/>
      <c r="F33" s="125"/>
      <c r="G33" s="125"/>
      <c r="H33" s="124"/>
      <c r="I33" s="105"/>
      <c r="J33" s="106"/>
      <c r="K33" s="106"/>
      <c r="L33" s="107"/>
    </row>
    <row r="34" spans="1:12" x14ac:dyDescent="0.25">
      <c r="A34" s="123" t="str">
        <f t="shared" si="0"/>
        <v xml:space="preserve"> # 31</v>
      </c>
      <c r="B34" s="123"/>
      <c r="C34" s="123"/>
      <c r="D34" s="124"/>
      <c r="E34" s="124"/>
      <c r="F34" s="125"/>
      <c r="G34" s="125"/>
      <c r="H34" s="124"/>
      <c r="I34" s="105"/>
      <c r="J34" s="106"/>
      <c r="K34" s="106"/>
      <c r="L34" s="107"/>
    </row>
    <row r="35" spans="1:12" x14ac:dyDescent="0.25">
      <c r="A35" s="123" t="str">
        <f t="shared" si="0"/>
        <v xml:space="preserve"> # 32</v>
      </c>
      <c r="B35" s="123"/>
      <c r="C35" s="123"/>
      <c r="D35" s="124"/>
      <c r="E35" s="124"/>
      <c r="F35" s="125"/>
      <c r="G35" s="125"/>
      <c r="H35" s="124"/>
      <c r="I35" s="105"/>
      <c r="J35" s="106"/>
      <c r="K35" s="106"/>
      <c r="L35" s="107"/>
    </row>
    <row r="36" spans="1:12" x14ac:dyDescent="0.25">
      <c r="A36" s="123" t="str">
        <f t="shared" si="0"/>
        <v xml:space="preserve"> # 33</v>
      </c>
      <c r="B36" s="123"/>
      <c r="C36" s="123"/>
      <c r="D36" s="124"/>
      <c r="E36" s="124"/>
      <c r="F36" s="125"/>
      <c r="G36" s="125"/>
      <c r="H36" s="124"/>
      <c r="I36" s="105"/>
      <c r="J36" s="106"/>
      <c r="K36" s="106"/>
      <c r="L36" s="107"/>
    </row>
    <row r="37" spans="1:12" x14ac:dyDescent="0.25">
      <c r="A37" s="123" t="str">
        <f t="shared" si="0"/>
        <v xml:space="preserve"> # 34</v>
      </c>
      <c r="B37" s="123"/>
      <c r="C37" s="123"/>
      <c r="D37" s="124"/>
      <c r="E37" s="124"/>
      <c r="F37" s="125"/>
      <c r="G37" s="125"/>
      <c r="H37" s="124"/>
      <c r="I37" s="105"/>
      <c r="J37" s="106"/>
      <c r="K37" s="106"/>
      <c r="L37" s="107"/>
    </row>
    <row r="38" spans="1:12" x14ac:dyDescent="0.25">
      <c r="A38" s="123" t="str">
        <f t="shared" si="0"/>
        <v xml:space="preserve"> # 35</v>
      </c>
      <c r="B38" s="123"/>
      <c r="C38" s="123"/>
      <c r="D38" s="124"/>
      <c r="E38" s="124"/>
      <c r="F38" s="125"/>
      <c r="G38" s="125"/>
      <c r="H38" s="124"/>
      <c r="I38" s="105"/>
      <c r="J38" s="106"/>
      <c r="K38" s="106"/>
      <c r="L38" s="107"/>
    </row>
    <row r="39" spans="1:12" x14ac:dyDescent="0.25">
      <c r="A39" s="123" t="str">
        <f t="shared" si="0"/>
        <v xml:space="preserve"> # 36</v>
      </c>
      <c r="B39" s="123"/>
      <c r="C39" s="123"/>
      <c r="D39" s="124"/>
      <c r="E39" s="124"/>
      <c r="F39" s="125"/>
      <c r="G39" s="125"/>
      <c r="H39" s="124"/>
      <c r="I39" s="105"/>
      <c r="J39" s="106"/>
      <c r="K39" s="106"/>
      <c r="L39" s="107"/>
    </row>
    <row r="40" spans="1:12" x14ac:dyDescent="0.25">
      <c r="A40" s="123" t="str">
        <f t="shared" si="0"/>
        <v xml:space="preserve"> # 37</v>
      </c>
      <c r="B40" s="123"/>
      <c r="C40" s="123"/>
      <c r="D40" s="124"/>
      <c r="E40" s="124"/>
      <c r="F40" s="125"/>
      <c r="G40" s="125"/>
      <c r="H40" s="124"/>
      <c r="I40" s="105"/>
      <c r="J40" s="106"/>
      <c r="K40" s="106"/>
      <c r="L40" s="107"/>
    </row>
    <row r="41" spans="1:12" x14ac:dyDescent="0.25">
      <c r="A41" s="123" t="str">
        <f t="shared" si="0"/>
        <v xml:space="preserve"> # 38</v>
      </c>
      <c r="B41" s="123"/>
      <c r="C41" s="123"/>
      <c r="D41" s="124"/>
      <c r="E41" s="124"/>
      <c r="F41" s="125"/>
      <c r="G41" s="125"/>
      <c r="H41" s="124"/>
      <c r="I41" s="105"/>
      <c r="J41" s="106"/>
      <c r="K41" s="106"/>
      <c r="L41" s="107"/>
    </row>
    <row r="42" spans="1:12" x14ac:dyDescent="0.25">
      <c r="A42" s="123" t="str">
        <f t="shared" si="0"/>
        <v xml:space="preserve"> # 39</v>
      </c>
      <c r="B42" s="123"/>
      <c r="C42" s="123"/>
      <c r="D42" s="124"/>
      <c r="E42" s="124"/>
      <c r="F42" s="125"/>
      <c r="G42" s="125"/>
      <c r="H42" s="124"/>
      <c r="I42" s="105"/>
      <c r="J42" s="106"/>
      <c r="K42" s="106"/>
      <c r="L42" s="107"/>
    </row>
    <row r="43" spans="1:12" x14ac:dyDescent="0.25">
      <c r="A43" s="123" t="str">
        <f t="shared" si="0"/>
        <v xml:space="preserve"> # 40</v>
      </c>
      <c r="B43" s="123"/>
      <c r="C43" s="123"/>
      <c r="D43" s="124"/>
      <c r="E43" s="124"/>
      <c r="F43" s="125"/>
      <c r="G43" s="125"/>
      <c r="H43" s="124"/>
      <c r="I43" s="105"/>
      <c r="J43" s="106"/>
      <c r="K43" s="106"/>
      <c r="L43" s="107"/>
    </row>
    <row r="44" spans="1:12" x14ac:dyDescent="0.25">
      <c r="A44" s="123" t="str">
        <f t="shared" si="0"/>
        <v xml:space="preserve"> # 41</v>
      </c>
      <c r="B44" s="123"/>
      <c r="C44" s="123"/>
      <c r="D44" s="124"/>
      <c r="E44" s="124"/>
      <c r="F44" s="125"/>
      <c r="G44" s="125"/>
      <c r="H44" s="124"/>
      <c r="I44" s="105"/>
      <c r="J44" s="106"/>
      <c r="K44" s="106"/>
      <c r="L44" s="107"/>
    </row>
    <row r="45" spans="1:12" x14ac:dyDescent="0.25">
      <c r="A45" s="123" t="str">
        <f t="shared" si="0"/>
        <v xml:space="preserve"> # 42</v>
      </c>
      <c r="B45" s="123"/>
      <c r="C45" s="123"/>
      <c r="D45" s="124"/>
      <c r="E45" s="124"/>
      <c r="F45" s="125"/>
      <c r="G45" s="125"/>
      <c r="H45" s="124"/>
      <c r="I45" s="105"/>
      <c r="J45" s="106"/>
      <c r="K45" s="106"/>
      <c r="L45" s="107"/>
    </row>
    <row r="46" spans="1:12" x14ac:dyDescent="0.25">
      <c r="A46" s="123" t="str">
        <f t="shared" si="0"/>
        <v xml:space="preserve"> # 43</v>
      </c>
      <c r="B46" s="123"/>
      <c r="C46" s="123"/>
      <c r="D46" s="124"/>
      <c r="E46" s="124"/>
      <c r="F46" s="125"/>
      <c r="G46" s="125"/>
      <c r="H46" s="124"/>
      <c r="I46" s="105"/>
      <c r="J46" s="106"/>
      <c r="K46" s="106"/>
      <c r="L46" s="107"/>
    </row>
    <row r="47" spans="1:12" x14ac:dyDescent="0.25">
      <c r="A47" s="123" t="str">
        <f t="shared" si="0"/>
        <v xml:space="preserve"> # 44</v>
      </c>
      <c r="B47" s="123"/>
      <c r="C47" s="123"/>
      <c r="D47" s="124"/>
      <c r="E47" s="124"/>
      <c r="F47" s="125"/>
      <c r="G47" s="125"/>
      <c r="H47" s="124"/>
      <c r="I47" s="105"/>
      <c r="J47" s="106"/>
      <c r="K47" s="106"/>
      <c r="L47" s="107"/>
    </row>
    <row r="48" spans="1:12" x14ac:dyDescent="0.25">
      <c r="A48" s="123" t="str">
        <f t="shared" si="0"/>
        <v xml:space="preserve"> # 45</v>
      </c>
      <c r="B48" s="123"/>
      <c r="C48" s="123"/>
      <c r="D48" s="124"/>
      <c r="E48" s="124"/>
      <c r="F48" s="125"/>
      <c r="G48" s="125"/>
      <c r="H48" s="124"/>
      <c r="I48" s="105"/>
      <c r="J48" s="106"/>
      <c r="K48" s="106"/>
      <c r="L48" s="107"/>
    </row>
    <row r="49" spans="1:12" x14ac:dyDescent="0.25">
      <c r="A49" s="123" t="str">
        <f t="shared" si="0"/>
        <v xml:space="preserve"> # 46</v>
      </c>
      <c r="B49" s="123"/>
      <c r="C49" s="123"/>
      <c r="D49" s="124"/>
      <c r="E49" s="124"/>
      <c r="F49" s="125"/>
      <c r="G49" s="125"/>
      <c r="H49" s="124"/>
      <c r="I49" s="105"/>
      <c r="J49" s="106"/>
      <c r="K49" s="106"/>
      <c r="L49" s="107"/>
    </row>
    <row r="50" spans="1:12" x14ac:dyDescent="0.25">
      <c r="A50" s="123" t="str">
        <f t="shared" si="0"/>
        <v xml:space="preserve"> # 47</v>
      </c>
      <c r="B50" s="123"/>
      <c r="C50" s="123"/>
      <c r="D50" s="124"/>
      <c r="E50" s="124"/>
      <c r="F50" s="125"/>
      <c r="G50" s="125"/>
      <c r="H50" s="124"/>
      <c r="I50" s="105"/>
      <c r="J50" s="106"/>
      <c r="K50" s="106"/>
      <c r="L50" s="107"/>
    </row>
    <row r="51" spans="1:12" x14ac:dyDescent="0.25">
      <c r="A51" s="123" t="str">
        <f t="shared" si="0"/>
        <v xml:space="preserve"> # 48</v>
      </c>
      <c r="B51" s="123"/>
      <c r="C51" s="123"/>
      <c r="D51" s="124"/>
      <c r="E51" s="124"/>
      <c r="F51" s="125"/>
      <c r="G51" s="125"/>
      <c r="H51" s="124"/>
      <c r="I51" s="105"/>
      <c r="J51" s="106"/>
      <c r="K51" s="106"/>
      <c r="L51" s="107"/>
    </row>
    <row r="52" spans="1:12" x14ac:dyDescent="0.25">
      <c r="A52" s="123" t="str">
        <f t="shared" si="0"/>
        <v xml:space="preserve"> # 49</v>
      </c>
      <c r="B52" s="123"/>
      <c r="C52" s="123"/>
      <c r="D52" s="124"/>
      <c r="E52" s="124"/>
      <c r="F52" s="125"/>
      <c r="G52" s="125"/>
      <c r="H52" s="124"/>
      <c r="I52" s="105"/>
      <c r="J52" s="106"/>
      <c r="K52" s="106"/>
      <c r="L52" s="107"/>
    </row>
    <row r="53" spans="1:12" x14ac:dyDescent="0.25">
      <c r="A53" s="123" t="str">
        <f t="shared" si="0"/>
        <v xml:space="preserve"> # 50</v>
      </c>
      <c r="B53" s="123"/>
      <c r="C53" s="123"/>
      <c r="D53" s="124"/>
      <c r="E53" s="124"/>
      <c r="F53" s="125"/>
      <c r="G53" s="125"/>
      <c r="H53" s="124"/>
      <c r="I53" s="105"/>
      <c r="J53" s="106"/>
      <c r="K53" s="106"/>
      <c r="L53" s="107"/>
    </row>
    <row r="54" spans="1:12" x14ac:dyDescent="0.25">
      <c r="A54" s="123" t="str">
        <f t="shared" si="0"/>
        <v xml:space="preserve"> # 51</v>
      </c>
      <c r="B54" s="123"/>
      <c r="C54" s="123"/>
      <c r="D54" s="124"/>
      <c r="E54" s="124"/>
      <c r="F54" s="125"/>
      <c r="G54" s="125"/>
      <c r="H54" s="124"/>
      <c r="I54" s="105"/>
      <c r="J54" s="106"/>
      <c r="K54" s="106"/>
      <c r="L54" s="107"/>
    </row>
    <row r="55" spans="1:12" x14ac:dyDescent="0.25">
      <c r="A55" s="123" t="str">
        <f t="shared" si="0"/>
        <v xml:space="preserve"> # 52</v>
      </c>
      <c r="B55" s="123"/>
      <c r="C55" s="123"/>
      <c r="D55" s="124"/>
      <c r="E55" s="124"/>
      <c r="F55" s="125"/>
      <c r="G55" s="125"/>
      <c r="H55" s="124"/>
      <c r="I55" s="105"/>
      <c r="J55" s="106"/>
      <c r="K55" s="106"/>
      <c r="L55" s="107"/>
    </row>
    <row r="56" spans="1:12" x14ac:dyDescent="0.25">
      <c r="A56" s="123" t="str">
        <f t="shared" si="0"/>
        <v xml:space="preserve"> # 53</v>
      </c>
      <c r="B56" s="123"/>
      <c r="C56" s="123"/>
      <c r="D56" s="124"/>
      <c r="E56" s="124"/>
      <c r="F56" s="125"/>
      <c r="G56" s="125"/>
      <c r="H56" s="124"/>
      <c r="I56" s="105"/>
      <c r="J56" s="106"/>
      <c r="K56" s="106"/>
      <c r="L56" s="107"/>
    </row>
    <row r="57" spans="1:12" x14ac:dyDescent="0.25">
      <c r="A57" s="123" t="str">
        <f t="shared" si="0"/>
        <v xml:space="preserve"> # 54</v>
      </c>
      <c r="B57" s="123"/>
      <c r="C57" s="123"/>
      <c r="D57" s="124"/>
      <c r="E57" s="124"/>
      <c r="F57" s="125"/>
      <c r="G57" s="125"/>
      <c r="H57" s="124"/>
      <c r="I57" s="105"/>
      <c r="J57" s="106"/>
      <c r="K57" s="106"/>
      <c r="L57" s="107"/>
    </row>
    <row r="58" spans="1:12" x14ac:dyDescent="0.25">
      <c r="A58" s="123" t="str">
        <f t="shared" si="0"/>
        <v xml:space="preserve"> # 55</v>
      </c>
      <c r="B58" s="123"/>
      <c r="C58" s="123"/>
      <c r="D58" s="124"/>
      <c r="E58" s="124"/>
      <c r="F58" s="125"/>
      <c r="G58" s="125"/>
      <c r="H58" s="124"/>
      <c r="I58" s="105"/>
      <c r="J58" s="106"/>
      <c r="K58" s="106"/>
      <c r="L58" s="107"/>
    </row>
    <row r="59" spans="1:12" x14ac:dyDescent="0.25">
      <c r="A59" s="123" t="str">
        <f t="shared" si="0"/>
        <v xml:space="preserve"> # 56</v>
      </c>
      <c r="B59" s="123"/>
      <c r="C59" s="123"/>
      <c r="D59" s="124"/>
      <c r="E59" s="124"/>
      <c r="F59" s="125"/>
      <c r="G59" s="125"/>
      <c r="H59" s="124"/>
      <c r="I59" s="105"/>
      <c r="J59" s="106"/>
      <c r="K59" s="106"/>
      <c r="L59" s="107"/>
    </row>
    <row r="60" spans="1:12" x14ac:dyDescent="0.25">
      <c r="A60" s="123" t="str">
        <f t="shared" si="0"/>
        <v xml:space="preserve"> # 57</v>
      </c>
      <c r="B60" s="123"/>
      <c r="C60" s="123"/>
      <c r="D60" s="124"/>
      <c r="E60" s="124"/>
      <c r="F60" s="125"/>
      <c r="G60" s="125"/>
      <c r="H60" s="124"/>
      <c r="I60" s="105"/>
      <c r="J60" s="106"/>
      <c r="K60" s="106"/>
      <c r="L60" s="107"/>
    </row>
    <row r="61" spans="1:12" x14ac:dyDescent="0.25">
      <c r="A61" s="123" t="str">
        <f t="shared" si="0"/>
        <v xml:space="preserve"> # 58</v>
      </c>
      <c r="B61" s="123"/>
      <c r="C61" s="123"/>
      <c r="D61" s="124"/>
      <c r="E61" s="124"/>
      <c r="F61" s="125"/>
      <c r="G61" s="125"/>
      <c r="H61" s="124"/>
      <c r="I61" s="105"/>
      <c r="J61" s="106"/>
      <c r="K61" s="106"/>
      <c r="L61" s="107"/>
    </row>
    <row r="62" spans="1:12" x14ac:dyDescent="0.25">
      <c r="A62" s="123" t="str">
        <f t="shared" si="0"/>
        <v xml:space="preserve"> # 59</v>
      </c>
      <c r="B62" s="123"/>
      <c r="C62" s="123"/>
      <c r="D62" s="124"/>
      <c r="E62" s="124"/>
      <c r="F62" s="125"/>
      <c r="G62" s="125"/>
      <c r="H62" s="124"/>
      <c r="I62" s="105"/>
      <c r="J62" s="106"/>
      <c r="K62" s="106"/>
      <c r="L62" s="107"/>
    </row>
    <row r="63" spans="1:12" x14ac:dyDescent="0.25">
      <c r="A63" s="123" t="str">
        <f t="shared" si="0"/>
        <v xml:space="preserve"> # 60</v>
      </c>
      <c r="B63" s="123"/>
      <c r="C63" s="123"/>
      <c r="D63" s="124"/>
      <c r="E63" s="124"/>
      <c r="F63" s="125"/>
      <c r="G63" s="125"/>
      <c r="H63" s="124"/>
      <c r="I63" s="105"/>
      <c r="J63" s="106"/>
      <c r="K63" s="106"/>
      <c r="L63" s="107"/>
    </row>
    <row r="64" spans="1:12" x14ac:dyDescent="0.25">
      <c r="A64" s="123" t="str">
        <f t="shared" si="0"/>
        <v xml:space="preserve"> # 61</v>
      </c>
      <c r="B64" s="123"/>
      <c r="C64" s="123"/>
      <c r="D64" s="124"/>
      <c r="E64" s="124"/>
      <c r="F64" s="125"/>
      <c r="G64" s="125"/>
      <c r="H64" s="124"/>
      <c r="I64" s="105"/>
      <c r="J64" s="106"/>
      <c r="K64" s="106"/>
      <c r="L64" s="107"/>
    </row>
    <row r="65" spans="1:12" x14ac:dyDescent="0.25">
      <c r="A65" s="123" t="str">
        <f t="shared" si="0"/>
        <v xml:space="preserve"> # 62</v>
      </c>
      <c r="B65" s="123"/>
      <c r="C65" s="123"/>
      <c r="D65" s="124"/>
      <c r="E65" s="124"/>
      <c r="F65" s="125"/>
      <c r="G65" s="125"/>
      <c r="H65" s="124"/>
      <c r="I65" s="105"/>
      <c r="J65" s="106"/>
      <c r="K65" s="106"/>
      <c r="L65" s="107"/>
    </row>
    <row r="66" spans="1:12" x14ac:dyDescent="0.25">
      <c r="A66" s="123" t="str">
        <f t="shared" si="0"/>
        <v xml:space="preserve"> # 63</v>
      </c>
      <c r="B66" s="123"/>
      <c r="C66" s="123"/>
      <c r="D66" s="124"/>
      <c r="E66" s="124"/>
      <c r="F66" s="125"/>
      <c r="G66" s="125"/>
      <c r="H66" s="124"/>
      <c r="I66" s="105"/>
      <c r="J66" s="106"/>
      <c r="K66" s="106"/>
      <c r="L66" s="107"/>
    </row>
    <row r="67" spans="1:12" x14ac:dyDescent="0.25">
      <c r="A67" s="123" t="str">
        <f t="shared" si="0"/>
        <v xml:space="preserve"> # 64</v>
      </c>
      <c r="B67" s="123"/>
      <c r="C67" s="123"/>
      <c r="D67" s="124"/>
      <c r="E67" s="124"/>
      <c r="F67" s="125"/>
      <c r="G67" s="125"/>
      <c r="H67" s="124"/>
      <c r="I67" s="105"/>
      <c r="J67" s="106"/>
      <c r="K67" s="106"/>
      <c r="L67" s="107"/>
    </row>
    <row r="68" spans="1:12" x14ac:dyDescent="0.25">
      <c r="A68" s="123" t="str">
        <f t="shared" si="0"/>
        <v xml:space="preserve"> # 65</v>
      </c>
      <c r="B68" s="123"/>
      <c r="C68" s="123"/>
      <c r="D68" s="124"/>
      <c r="E68" s="124"/>
      <c r="F68" s="125"/>
      <c r="G68" s="125"/>
      <c r="H68" s="124"/>
      <c r="I68" s="105"/>
      <c r="J68" s="106"/>
      <c r="K68" s="106"/>
      <c r="L68" s="107"/>
    </row>
    <row r="69" spans="1:12" x14ac:dyDescent="0.25">
      <c r="A69" s="123" t="str">
        <f t="shared" ref="A69:A132" si="1" xml:space="preserve"> " # " &amp; ROW()-3</f>
        <v xml:space="preserve"> # 66</v>
      </c>
      <c r="B69" s="123"/>
      <c r="C69" s="123"/>
      <c r="D69" s="124"/>
      <c r="E69" s="124"/>
      <c r="F69" s="125"/>
      <c r="G69" s="125"/>
      <c r="H69" s="124"/>
      <c r="I69" s="105"/>
      <c r="J69" s="106"/>
      <c r="K69" s="106"/>
      <c r="L69" s="107"/>
    </row>
    <row r="70" spans="1:12" x14ac:dyDescent="0.25">
      <c r="A70" s="123" t="str">
        <f t="shared" si="1"/>
        <v xml:space="preserve"> # 67</v>
      </c>
      <c r="B70" s="123"/>
      <c r="C70" s="123"/>
      <c r="D70" s="124"/>
      <c r="E70" s="124"/>
      <c r="F70" s="125"/>
      <c r="G70" s="125"/>
      <c r="H70" s="124"/>
      <c r="I70" s="105"/>
      <c r="J70" s="106"/>
      <c r="K70" s="106"/>
      <c r="L70" s="107"/>
    </row>
    <row r="71" spans="1:12" x14ac:dyDescent="0.25">
      <c r="A71" s="123" t="str">
        <f t="shared" si="1"/>
        <v xml:space="preserve"> # 68</v>
      </c>
      <c r="B71" s="123"/>
      <c r="C71" s="123"/>
      <c r="D71" s="124"/>
      <c r="E71" s="124"/>
      <c r="F71" s="125"/>
      <c r="G71" s="125"/>
      <c r="H71" s="124"/>
      <c r="I71" s="105"/>
      <c r="J71" s="106"/>
      <c r="K71" s="106"/>
      <c r="L71" s="107"/>
    </row>
    <row r="72" spans="1:12" x14ac:dyDescent="0.25">
      <c r="A72" s="123" t="str">
        <f t="shared" si="1"/>
        <v xml:space="preserve"> # 69</v>
      </c>
      <c r="B72" s="123"/>
      <c r="C72" s="123"/>
      <c r="D72" s="124"/>
      <c r="E72" s="124"/>
      <c r="F72" s="125"/>
      <c r="G72" s="125"/>
      <c r="H72" s="124"/>
      <c r="I72" s="105"/>
      <c r="J72" s="106"/>
      <c r="K72" s="106"/>
      <c r="L72" s="107"/>
    </row>
    <row r="73" spans="1:12" x14ac:dyDescent="0.25">
      <c r="A73" s="123" t="str">
        <f t="shared" si="1"/>
        <v xml:space="preserve"> # 70</v>
      </c>
      <c r="B73" s="123"/>
      <c r="C73" s="123"/>
      <c r="D73" s="124"/>
      <c r="E73" s="124"/>
      <c r="F73" s="125"/>
      <c r="G73" s="125"/>
      <c r="H73" s="124"/>
      <c r="I73" s="105"/>
      <c r="J73" s="106"/>
      <c r="K73" s="106"/>
      <c r="L73" s="107"/>
    </row>
    <row r="74" spans="1:12" x14ac:dyDescent="0.25">
      <c r="A74" s="123" t="str">
        <f t="shared" si="1"/>
        <v xml:space="preserve"> # 71</v>
      </c>
      <c r="B74" s="123"/>
      <c r="C74" s="123"/>
      <c r="D74" s="124"/>
      <c r="E74" s="124"/>
      <c r="F74" s="125"/>
      <c r="G74" s="125"/>
      <c r="H74" s="124"/>
      <c r="I74" s="105"/>
      <c r="J74" s="106"/>
      <c r="K74" s="106"/>
      <c r="L74" s="107"/>
    </row>
    <row r="75" spans="1:12" x14ac:dyDescent="0.25">
      <c r="A75" s="123" t="str">
        <f t="shared" si="1"/>
        <v xml:space="preserve"> # 72</v>
      </c>
      <c r="B75" s="123"/>
      <c r="C75" s="123"/>
      <c r="D75" s="124"/>
      <c r="E75" s="124"/>
      <c r="F75" s="125"/>
      <c r="G75" s="125"/>
      <c r="H75" s="124"/>
      <c r="I75" s="105"/>
      <c r="J75" s="106"/>
      <c r="K75" s="106"/>
      <c r="L75" s="107"/>
    </row>
    <row r="76" spans="1:12" x14ac:dyDescent="0.25">
      <c r="A76" s="123" t="str">
        <f t="shared" si="1"/>
        <v xml:space="preserve"> # 73</v>
      </c>
      <c r="B76" s="123"/>
      <c r="C76" s="123"/>
      <c r="D76" s="124"/>
      <c r="E76" s="124"/>
      <c r="F76" s="125"/>
      <c r="G76" s="125"/>
      <c r="H76" s="124"/>
      <c r="I76" s="105"/>
      <c r="J76" s="106"/>
      <c r="K76" s="106"/>
      <c r="L76" s="107"/>
    </row>
    <row r="77" spans="1:12" x14ac:dyDescent="0.25">
      <c r="A77" s="123" t="str">
        <f t="shared" si="1"/>
        <v xml:space="preserve"> # 74</v>
      </c>
      <c r="B77" s="123"/>
      <c r="C77" s="123"/>
      <c r="D77" s="124"/>
      <c r="E77" s="124"/>
      <c r="F77" s="125"/>
      <c r="G77" s="125"/>
      <c r="H77" s="124"/>
      <c r="I77" s="105"/>
      <c r="J77" s="106"/>
      <c r="K77" s="106"/>
      <c r="L77" s="107"/>
    </row>
    <row r="78" spans="1:12" x14ac:dyDescent="0.25">
      <c r="A78" s="123" t="str">
        <f t="shared" si="1"/>
        <v xml:space="preserve"> # 75</v>
      </c>
      <c r="B78" s="123"/>
      <c r="C78" s="123"/>
      <c r="D78" s="124"/>
      <c r="E78" s="124"/>
      <c r="F78" s="125"/>
      <c r="G78" s="125"/>
      <c r="H78" s="124"/>
      <c r="I78" s="105"/>
      <c r="J78" s="106"/>
      <c r="K78" s="106"/>
      <c r="L78" s="107"/>
    </row>
    <row r="79" spans="1:12" x14ac:dyDescent="0.25">
      <c r="A79" s="123" t="str">
        <f t="shared" si="1"/>
        <v xml:space="preserve"> # 76</v>
      </c>
      <c r="B79" s="123"/>
      <c r="C79" s="123"/>
      <c r="D79" s="124"/>
      <c r="E79" s="124"/>
      <c r="F79" s="125"/>
      <c r="G79" s="125"/>
      <c r="H79" s="124"/>
      <c r="I79" s="105"/>
      <c r="J79" s="106"/>
      <c r="K79" s="106"/>
      <c r="L79" s="107"/>
    </row>
    <row r="80" spans="1:12" x14ac:dyDescent="0.25">
      <c r="A80" s="123" t="str">
        <f t="shared" si="1"/>
        <v xml:space="preserve"> # 77</v>
      </c>
      <c r="B80" s="123"/>
      <c r="C80" s="123"/>
      <c r="D80" s="124"/>
      <c r="E80" s="124"/>
      <c r="F80" s="125"/>
      <c r="G80" s="125"/>
      <c r="H80" s="124"/>
      <c r="I80" s="105"/>
      <c r="J80" s="106"/>
      <c r="K80" s="106"/>
      <c r="L80" s="107"/>
    </row>
    <row r="81" spans="1:12" x14ac:dyDescent="0.25">
      <c r="A81" s="123" t="str">
        <f t="shared" si="1"/>
        <v xml:space="preserve"> # 78</v>
      </c>
      <c r="B81" s="123"/>
      <c r="C81" s="123"/>
      <c r="D81" s="124"/>
      <c r="E81" s="124"/>
      <c r="F81" s="125"/>
      <c r="G81" s="125"/>
      <c r="H81" s="124"/>
      <c r="I81" s="105"/>
      <c r="J81" s="106"/>
      <c r="K81" s="106"/>
      <c r="L81" s="107"/>
    </row>
    <row r="82" spans="1:12" x14ac:dyDescent="0.25">
      <c r="A82" s="123" t="str">
        <f t="shared" si="1"/>
        <v xml:space="preserve"> # 79</v>
      </c>
      <c r="B82" s="123"/>
      <c r="C82" s="123"/>
      <c r="D82" s="124"/>
      <c r="E82" s="124"/>
      <c r="F82" s="125"/>
      <c r="G82" s="125"/>
      <c r="H82" s="124"/>
      <c r="I82" s="105"/>
      <c r="J82" s="106"/>
      <c r="K82" s="106"/>
      <c r="L82" s="107"/>
    </row>
    <row r="83" spans="1:12" x14ac:dyDescent="0.25">
      <c r="A83" s="123" t="str">
        <f t="shared" si="1"/>
        <v xml:space="preserve"> # 80</v>
      </c>
      <c r="B83" s="123"/>
      <c r="C83" s="123"/>
      <c r="D83" s="124"/>
      <c r="E83" s="124"/>
      <c r="F83" s="125"/>
      <c r="G83" s="125"/>
      <c r="H83" s="124"/>
      <c r="I83" s="105"/>
      <c r="J83" s="106"/>
      <c r="K83" s="106"/>
      <c r="L83" s="107"/>
    </row>
    <row r="84" spans="1:12" x14ac:dyDescent="0.25">
      <c r="A84" s="123" t="str">
        <f t="shared" si="1"/>
        <v xml:space="preserve"> # 81</v>
      </c>
      <c r="B84" s="123"/>
      <c r="C84" s="123"/>
      <c r="D84" s="124"/>
      <c r="E84" s="124"/>
      <c r="F84" s="125"/>
      <c r="G84" s="125"/>
      <c r="H84" s="124"/>
      <c r="I84" s="105"/>
      <c r="J84" s="106"/>
      <c r="K84" s="106"/>
      <c r="L84" s="107"/>
    </row>
    <row r="85" spans="1:12" x14ac:dyDescent="0.25">
      <c r="A85" s="123" t="str">
        <f t="shared" si="1"/>
        <v xml:space="preserve"> # 82</v>
      </c>
      <c r="B85" s="123"/>
      <c r="C85" s="123"/>
      <c r="D85" s="124"/>
      <c r="E85" s="124"/>
      <c r="F85" s="125"/>
      <c r="G85" s="125"/>
      <c r="H85" s="124"/>
      <c r="I85" s="105"/>
      <c r="J85" s="106"/>
      <c r="K85" s="106"/>
      <c r="L85" s="107"/>
    </row>
    <row r="86" spans="1:12" x14ac:dyDescent="0.25">
      <c r="A86" s="123" t="str">
        <f t="shared" si="1"/>
        <v xml:space="preserve"> # 83</v>
      </c>
      <c r="B86" s="123"/>
      <c r="C86" s="123"/>
      <c r="D86" s="124"/>
      <c r="E86" s="124"/>
      <c r="F86" s="125"/>
      <c r="G86" s="125"/>
      <c r="H86" s="124"/>
      <c r="I86" s="105"/>
      <c r="J86" s="106"/>
      <c r="K86" s="106"/>
      <c r="L86" s="107"/>
    </row>
    <row r="87" spans="1:12" x14ac:dyDescent="0.25">
      <c r="A87" s="123" t="str">
        <f t="shared" si="1"/>
        <v xml:space="preserve"> # 84</v>
      </c>
      <c r="B87" s="123"/>
      <c r="C87" s="123"/>
      <c r="D87" s="124"/>
      <c r="E87" s="124"/>
      <c r="F87" s="125"/>
      <c r="G87" s="125"/>
      <c r="H87" s="124"/>
      <c r="I87" s="105"/>
      <c r="J87" s="106"/>
      <c r="K87" s="106"/>
      <c r="L87" s="107"/>
    </row>
    <row r="88" spans="1:12" x14ac:dyDescent="0.25">
      <c r="A88" s="123" t="str">
        <f t="shared" si="1"/>
        <v xml:space="preserve"> # 85</v>
      </c>
      <c r="B88" s="123"/>
      <c r="C88" s="123"/>
      <c r="D88" s="124"/>
      <c r="E88" s="124"/>
      <c r="F88" s="125"/>
      <c r="G88" s="125"/>
      <c r="H88" s="124"/>
      <c r="I88" s="105"/>
      <c r="J88" s="106"/>
      <c r="K88" s="106"/>
      <c r="L88" s="107"/>
    </row>
    <row r="89" spans="1:12" x14ac:dyDescent="0.25">
      <c r="A89" s="123" t="str">
        <f t="shared" si="1"/>
        <v xml:space="preserve"> # 86</v>
      </c>
      <c r="B89" s="123"/>
      <c r="C89" s="123"/>
      <c r="D89" s="124"/>
      <c r="E89" s="124"/>
      <c r="F89" s="125"/>
      <c r="G89" s="125"/>
      <c r="H89" s="124"/>
      <c r="I89" s="105"/>
      <c r="J89" s="106"/>
      <c r="K89" s="106"/>
      <c r="L89" s="107"/>
    </row>
    <row r="90" spans="1:12" x14ac:dyDescent="0.25">
      <c r="A90" s="123" t="str">
        <f t="shared" si="1"/>
        <v xml:space="preserve"> # 87</v>
      </c>
      <c r="B90" s="123"/>
      <c r="C90" s="123"/>
      <c r="D90" s="124"/>
      <c r="E90" s="124"/>
      <c r="F90" s="125"/>
      <c r="G90" s="125"/>
      <c r="H90" s="124"/>
      <c r="I90" s="105"/>
      <c r="J90" s="106"/>
      <c r="K90" s="106"/>
      <c r="L90" s="107"/>
    </row>
    <row r="91" spans="1:12" x14ac:dyDescent="0.25">
      <c r="A91" s="123" t="str">
        <f t="shared" si="1"/>
        <v xml:space="preserve"> # 88</v>
      </c>
      <c r="B91" s="123"/>
      <c r="C91" s="123"/>
      <c r="D91" s="124"/>
      <c r="E91" s="124"/>
      <c r="F91" s="125"/>
      <c r="G91" s="125"/>
      <c r="H91" s="124"/>
      <c r="I91" s="105"/>
      <c r="J91" s="106"/>
      <c r="K91" s="106"/>
      <c r="L91" s="107"/>
    </row>
    <row r="92" spans="1:12" x14ac:dyDescent="0.25">
      <c r="A92" s="123" t="str">
        <f t="shared" si="1"/>
        <v xml:space="preserve"> # 89</v>
      </c>
      <c r="B92" s="123"/>
      <c r="C92" s="123"/>
      <c r="D92" s="124"/>
      <c r="E92" s="124"/>
      <c r="F92" s="125"/>
      <c r="G92" s="125"/>
      <c r="H92" s="124"/>
      <c r="I92" s="105"/>
      <c r="J92" s="106"/>
      <c r="K92" s="106"/>
      <c r="L92" s="107"/>
    </row>
    <row r="93" spans="1:12" x14ac:dyDescent="0.25">
      <c r="A93" s="123" t="str">
        <f t="shared" si="1"/>
        <v xml:space="preserve"> # 90</v>
      </c>
      <c r="B93" s="123"/>
      <c r="C93" s="123"/>
      <c r="D93" s="124"/>
      <c r="E93" s="124"/>
      <c r="F93" s="125"/>
      <c r="G93" s="125"/>
      <c r="H93" s="124"/>
      <c r="I93" s="105"/>
      <c r="J93" s="106"/>
      <c r="K93" s="106"/>
      <c r="L93" s="107"/>
    </row>
    <row r="94" spans="1:12" x14ac:dyDescent="0.25">
      <c r="A94" s="123" t="str">
        <f t="shared" si="1"/>
        <v xml:space="preserve"> # 91</v>
      </c>
      <c r="B94" s="123"/>
      <c r="C94" s="123"/>
      <c r="D94" s="124"/>
      <c r="E94" s="124"/>
      <c r="F94" s="125"/>
      <c r="G94" s="125"/>
      <c r="H94" s="124"/>
      <c r="I94" s="105"/>
      <c r="J94" s="106"/>
      <c r="K94" s="106"/>
      <c r="L94" s="107"/>
    </row>
    <row r="95" spans="1:12" x14ac:dyDescent="0.25">
      <c r="A95" s="123" t="str">
        <f t="shared" si="1"/>
        <v xml:space="preserve"> # 92</v>
      </c>
      <c r="B95" s="123"/>
      <c r="C95" s="123"/>
      <c r="D95" s="124"/>
      <c r="E95" s="124"/>
      <c r="F95" s="125"/>
      <c r="G95" s="125"/>
      <c r="H95" s="124"/>
      <c r="I95" s="105"/>
      <c r="J95" s="106"/>
      <c r="K95" s="106"/>
      <c r="L95" s="107"/>
    </row>
    <row r="96" spans="1:12" x14ac:dyDescent="0.25">
      <c r="A96" s="123" t="str">
        <f t="shared" si="1"/>
        <v xml:space="preserve"> # 93</v>
      </c>
      <c r="B96" s="123"/>
      <c r="C96" s="123"/>
      <c r="D96" s="124"/>
      <c r="E96" s="124"/>
      <c r="F96" s="125"/>
      <c r="G96" s="125"/>
      <c r="H96" s="124"/>
      <c r="I96" s="105"/>
      <c r="J96" s="106"/>
      <c r="K96" s="106"/>
      <c r="L96" s="107"/>
    </row>
    <row r="97" spans="1:12" x14ac:dyDescent="0.25">
      <c r="A97" s="123" t="str">
        <f t="shared" si="1"/>
        <v xml:space="preserve"> # 94</v>
      </c>
      <c r="B97" s="123"/>
      <c r="C97" s="123"/>
      <c r="D97" s="124"/>
      <c r="E97" s="124"/>
      <c r="F97" s="125"/>
      <c r="G97" s="125"/>
      <c r="H97" s="124"/>
      <c r="I97" s="105"/>
      <c r="J97" s="106"/>
      <c r="K97" s="106"/>
      <c r="L97" s="107"/>
    </row>
    <row r="98" spans="1:12" x14ac:dyDescent="0.25">
      <c r="A98" s="123" t="str">
        <f t="shared" si="1"/>
        <v xml:space="preserve"> # 95</v>
      </c>
      <c r="B98" s="123"/>
      <c r="C98" s="123"/>
      <c r="D98" s="124"/>
      <c r="E98" s="124"/>
      <c r="F98" s="125"/>
      <c r="G98" s="125"/>
      <c r="H98" s="124"/>
      <c r="I98" s="105"/>
      <c r="J98" s="106"/>
      <c r="K98" s="106"/>
      <c r="L98" s="107"/>
    </row>
    <row r="99" spans="1:12" x14ac:dyDescent="0.25">
      <c r="A99" s="123" t="str">
        <f t="shared" si="1"/>
        <v xml:space="preserve"> # 96</v>
      </c>
      <c r="B99" s="123"/>
      <c r="C99" s="123"/>
      <c r="D99" s="124"/>
      <c r="E99" s="124"/>
      <c r="F99" s="125"/>
      <c r="G99" s="125"/>
      <c r="H99" s="124"/>
      <c r="I99" s="105"/>
      <c r="J99" s="106"/>
      <c r="K99" s="106"/>
      <c r="L99" s="107"/>
    </row>
    <row r="100" spans="1:12" x14ac:dyDescent="0.25">
      <c r="A100" s="123" t="str">
        <f t="shared" si="1"/>
        <v xml:space="preserve"> # 97</v>
      </c>
      <c r="B100" s="123"/>
      <c r="C100" s="123"/>
      <c r="D100" s="124"/>
      <c r="E100" s="124"/>
      <c r="F100" s="125"/>
      <c r="G100" s="125"/>
      <c r="H100" s="124"/>
      <c r="I100" s="105"/>
      <c r="J100" s="106"/>
      <c r="K100" s="106"/>
      <c r="L100" s="107"/>
    </row>
    <row r="101" spans="1:12" x14ac:dyDescent="0.25">
      <c r="A101" s="123" t="str">
        <f t="shared" si="1"/>
        <v xml:space="preserve"> # 98</v>
      </c>
      <c r="B101" s="123"/>
      <c r="C101" s="123"/>
      <c r="D101" s="124"/>
      <c r="E101" s="124"/>
      <c r="F101" s="125"/>
      <c r="G101" s="125"/>
      <c r="H101" s="124"/>
      <c r="I101" s="105"/>
      <c r="J101" s="106"/>
      <c r="K101" s="106"/>
      <c r="L101" s="107"/>
    </row>
    <row r="102" spans="1:12" x14ac:dyDescent="0.25">
      <c r="A102" s="123" t="str">
        <f t="shared" si="1"/>
        <v xml:space="preserve"> # 99</v>
      </c>
      <c r="B102" s="123"/>
      <c r="C102" s="123"/>
      <c r="D102" s="124"/>
      <c r="E102" s="124"/>
      <c r="F102" s="125"/>
      <c r="G102" s="125"/>
      <c r="H102" s="124"/>
      <c r="I102" s="105"/>
      <c r="J102" s="106"/>
      <c r="K102" s="106"/>
      <c r="L102" s="107"/>
    </row>
    <row r="103" spans="1:12" x14ac:dyDescent="0.25">
      <c r="A103" s="123" t="str">
        <f t="shared" si="1"/>
        <v xml:space="preserve"> # 100</v>
      </c>
      <c r="B103" s="123"/>
      <c r="C103" s="123"/>
      <c r="D103" s="124"/>
      <c r="E103" s="124"/>
      <c r="F103" s="125"/>
      <c r="G103" s="125"/>
      <c r="H103" s="124"/>
      <c r="I103" s="105"/>
      <c r="J103" s="106"/>
      <c r="K103" s="106"/>
      <c r="L103" s="107"/>
    </row>
    <row r="104" spans="1:12" x14ac:dyDescent="0.25">
      <c r="A104" s="123" t="str">
        <f t="shared" si="1"/>
        <v xml:space="preserve"> # 101</v>
      </c>
      <c r="B104" s="123"/>
      <c r="C104" s="123"/>
      <c r="D104" s="124"/>
      <c r="E104" s="124"/>
      <c r="F104" s="125"/>
      <c r="G104" s="125"/>
      <c r="H104" s="124"/>
      <c r="I104" s="105"/>
      <c r="J104" s="106"/>
      <c r="K104" s="106"/>
      <c r="L104" s="107"/>
    </row>
    <row r="105" spans="1:12" x14ac:dyDescent="0.25">
      <c r="A105" s="123" t="str">
        <f t="shared" si="1"/>
        <v xml:space="preserve"> # 102</v>
      </c>
      <c r="B105" s="123"/>
      <c r="C105" s="123"/>
      <c r="D105" s="124"/>
      <c r="E105" s="124"/>
      <c r="F105" s="125"/>
      <c r="G105" s="125"/>
      <c r="H105" s="124"/>
      <c r="I105" s="105"/>
      <c r="J105" s="106"/>
      <c r="K105" s="106"/>
      <c r="L105" s="107"/>
    </row>
    <row r="106" spans="1:12" x14ac:dyDescent="0.25">
      <c r="A106" s="123" t="str">
        <f t="shared" si="1"/>
        <v xml:space="preserve"> # 103</v>
      </c>
      <c r="B106" s="123"/>
      <c r="C106" s="123"/>
      <c r="D106" s="124"/>
      <c r="E106" s="124"/>
      <c r="F106" s="125"/>
      <c r="G106" s="125"/>
      <c r="H106" s="124"/>
      <c r="I106" s="105"/>
      <c r="J106" s="106"/>
      <c r="K106" s="106"/>
      <c r="L106" s="107"/>
    </row>
    <row r="107" spans="1:12" x14ac:dyDescent="0.25">
      <c r="A107" s="123" t="str">
        <f t="shared" si="1"/>
        <v xml:space="preserve"> # 104</v>
      </c>
      <c r="B107" s="123"/>
      <c r="C107" s="123"/>
      <c r="D107" s="124"/>
      <c r="E107" s="124"/>
      <c r="F107" s="125"/>
      <c r="G107" s="125"/>
      <c r="H107" s="124"/>
      <c r="I107" s="105"/>
      <c r="J107" s="106"/>
      <c r="K107" s="106"/>
      <c r="L107" s="107"/>
    </row>
    <row r="108" spans="1:12" x14ac:dyDescent="0.25">
      <c r="A108" s="123" t="str">
        <f t="shared" si="1"/>
        <v xml:space="preserve"> # 105</v>
      </c>
      <c r="B108" s="123"/>
      <c r="C108" s="123"/>
      <c r="D108" s="124"/>
      <c r="E108" s="124"/>
      <c r="F108" s="125"/>
      <c r="G108" s="125"/>
      <c r="H108" s="124"/>
      <c r="I108" s="105"/>
      <c r="J108" s="106"/>
      <c r="K108" s="106"/>
      <c r="L108" s="107"/>
    </row>
    <row r="109" spans="1:12" x14ac:dyDescent="0.25">
      <c r="A109" s="123" t="str">
        <f t="shared" si="1"/>
        <v xml:space="preserve"> # 106</v>
      </c>
      <c r="B109" s="123"/>
      <c r="C109" s="123"/>
      <c r="D109" s="124"/>
      <c r="E109" s="124"/>
      <c r="F109" s="125"/>
      <c r="G109" s="125"/>
      <c r="H109" s="124"/>
      <c r="I109" s="105"/>
      <c r="J109" s="106"/>
      <c r="K109" s="106"/>
      <c r="L109" s="107"/>
    </row>
    <row r="110" spans="1:12" x14ac:dyDescent="0.25">
      <c r="A110" s="123" t="str">
        <f t="shared" si="1"/>
        <v xml:space="preserve"> # 107</v>
      </c>
      <c r="B110" s="123"/>
      <c r="C110" s="123"/>
      <c r="D110" s="124"/>
      <c r="E110" s="124"/>
      <c r="F110" s="125"/>
      <c r="G110" s="125"/>
      <c r="H110" s="124"/>
      <c r="I110" s="105"/>
      <c r="J110" s="106"/>
      <c r="K110" s="106"/>
      <c r="L110" s="107"/>
    </row>
    <row r="111" spans="1:12" x14ac:dyDescent="0.25">
      <c r="A111" s="123" t="str">
        <f t="shared" si="1"/>
        <v xml:space="preserve"> # 108</v>
      </c>
      <c r="B111" s="123"/>
      <c r="C111" s="123"/>
      <c r="D111" s="124"/>
      <c r="E111" s="124"/>
      <c r="F111" s="125"/>
      <c r="G111" s="125"/>
      <c r="H111" s="124"/>
      <c r="I111" s="105"/>
      <c r="J111" s="106"/>
      <c r="K111" s="106"/>
      <c r="L111" s="107"/>
    </row>
    <row r="112" spans="1:12" x14ac:dyDescent="0.25">
      <c r="A112" s="123" t="str">
        <f t="shared" si="1"/>
        <v xml:space="preserve"> # 109</v>
      </c>
      <c r="B112" s="123"/>
      <c r="C112" s="123"/>
      <c r="D112" s="124"/>
      <c r="E112" s="124"/>
      <c r="F112" s="125"/>
      <c r="G112" s="125"/>
      <c r="H112" s="124"/>
      <c r="I112" s="105"/>
      <c r="J112" s="106"/>
      <c r="K112" s="106"/>
      <c r="L112" s="107"/>
    </row>
    <row r="113" spans="1:12" x14ac:dyDescent="0.25">
      <c r="A113" s="123" t="str">
        <f t="shared" si="1"/>
        <v xml:space="preserve"> # 110</v>
      </c>
      <c r="B113" s="123"/>
      <c r="C113" s="123"/>
      <c r="D113" s="124"/>
      <c r="E113" s="124"/>
      <c r="F113" s="125"/>
      <c r="G113" s="125"/>
      <c r="H113" s="124"/>
      <c r="I113" s="105"/>
      <c r="J113" s="106"/>
      <c r="K113" s="106"/>
      <c r="L113" s="107"/>
    </row>
    <row r="114" spans="1:12" x14ac:dyDescent="0.25">
      <c r="A114" s="123" t="str">
        <f t="shared" si="1"/>
        <v xml:space="preserve"> # 111</v>
      </c>
      <c r="B114" s="123"/>
      <c r="C114" s="123"/>
      <c r="D114" s="124"/>
      <c r="E114" s="124"/>
      <c r="F114" s="125"/>
      <c r="G114" s="125"/>
      <c r="H114" s="124"/>
      <c r="I114" s="105"/>
      <c r="J114" s="106"/>
      <c r="K114" s="106"/>
      <c r="L114" s="107"/>
    </row>
    <row r="115" spans="1:12" x14ac:dyDescent="0.25">
      <c r="A115" s="123" t="str">
        <f t="shared" si="1"/>
        <v xml:space="preserve"> # 112</v>
      </c>
      <c r="B115" s="123"/>
      <c r="C115" s="123"/>
      <c r="D115" s="124"/>
      <c r="E115" s="124"/>
      <c r="F115" s="125"/>
      <c r="G115" s="125"/>
      <c r="H115" s="124"/>
      <c r="I115" s="105"/>
      <c r="J115" s="106"/>
      <c r="K115" s="106"/>
      <c r="L115" s="107"/>
    </row>
    <row r="116" spans="1:12" x14ac:dyDescent="0.25">
      <c r="A116" s="123" t="str">
        <f t="shared" si="1"/>
        <v xml:space="preserve"> # 113</v>
      </c>
      <c r="B116" s="123"/>
      <c r="C116" s="123"/>
      <c r="D116" s="124"/>
      <c r="E116" s="124"/>
      <c r="F116" s="125"/>
      <c r="G116" s="125"/>
      <c r="H116" s="124"/>
      <c r="I116" s="105"/>
      <c r="J116" s="106"/>
      <c r="K116" s="106"/>
      <c r="L116" s="107"/>
    </row>
    <row r="117" spans="1:12" x14ac:dyDescent="0.25">
      <c r="A117" s="123" t="str">
        <f t="shared" si="1"/>
        <v xml:space="preserve"> # 114</v>
      </c>
      <c r="B117" s="123"/>
      <c r="C117" s="123"/>
      <c r="D117" s="124"/>
      <c r="E117" s="124"/>
      <c r="F117" s="125"/>
      <c r="G117" s="125"/>
      <c r="H117" s="124"/>
      <c r="I117" s="105"/>
      <c r="J117" s="106"/>
      <c r="K117" s="106"/>
      <c r="L117" s="107"/>
    </row>
    <row r="118" spans="1:12" x14ac:dyDescent="0.25">
      <c r="A118" s="123" t="str">
        <f t="shared" si="1"/>
        <v xml:space="preserve"> # 115</v>
      </c>
      <c r="B118" s="123"/>
      <c r="C118" s="123"/>
      <c r="D118" s="124"/>
      <c r="E118" s="124"/>
      <c r="F118" s="125"/>
      <c r="G118" s="125"/>
      <c r="H118" s="124"/>
      <c r="I118" s="105"/>
      <c r="J118" s="106"/>
      <c r="K118" s="106"/>
      <c r="L118" s="107"/>
    </row>
    <row r="119" spans="1:12" x14ac:dyDescent="0.25">
      <c r="A119" s="123" t="str">
        <f t="shared" si="1"/>
        <v xml:space="preserve"> # 116</v>
      </c>
      <c r="B119" s="123"/>
      <c r="C119" s="123"/>
      <c r="D119" s="124"/>
      <c r="E119" s="124"/>
      <c r="F119" s="125"/>
      <c r="G119" s="125"/>
      <c r="H119" s="124"/>
      <c r="I119" s="105"/>
      <c r="J119" s="106"/>
      <c r="K119" s="106"/>
      <c r="L119" s="107"/>
    </row>
    <row r="120" spans="1:12" x14ac:dyDescent="0.25">
      <c r="A120" s="123" t="str">
        <f t="shared" si="1"/>
        <v xml:space="preserve"> # 117</v>
      </c>
      <c r="B120" s="123"/>
      <c r="C120" s="123"/>
      <c r="D120" s="124"/>
      <c r="E120" s="124"/>
      <c r="F120" s="125"/>
      <c r="G120" s="125"/>
      <c r="H120" s="124"/>
      <c r="I120" s="105"/>
      <c r="J120" s="106"/>
      <c r="K120" s="106"/>
      <c r="L120" s="107"/>
    </row>
    <row r="121" spans="1:12" x14ac:dyDescent="0.25">
      <c r="A121" s="123" t="str">
        <f t="shared" si="1"/>
        <v xml:space="preserve"> # 118</v>
      </c>
      <c r="B121" s="123"/>
      <c r="C121" s="123"/>
      <c r="D121" s="124"/>
      <c r="E121" s="124"/>
      <c r="F121" s="125"/>
      <c r="G121" s="125"/>
      <c r="H121" s="124"/>
      <c r="I121" s="105"/>
      <c r="J121" s="106"/>
      <c r="K121" s="106"/>
      <c r="L121" s="107"/>
    </row>
    <row r="122" spans="1:12" x14ac:dyDescent="0.25">
      <c r="A122" s="123" t="str">
        <f t="shared" si="1"/>
        <v xml:space="preserve"> # 119</v>
      </c>
      <c r="B122" s="123"/>
      <c r="C122" s="123"/>
      <c r="D122" s="124"/>
      <c r="E122" s="124"/>
      <c r="F122" s="125"/>
      <c r="G122" s="125"/>
      <c r="H122" s="124"/>
      <c r="I122" s="105"/>
      <c r="J122" s="106"/>
      <c r="K122" s="106"/>
      <c r="L122" s="107"/>
    </row>
    <row r="123" spans="1:12" x14ac:dyDescent="0.25">
      <c r="A123" s="123" t="str">
        <f t="shared" si="1"/>
        <v xml:space="preserve"> # 120</v>
      </c>
      <c r="B123" s="123"/>
      <c r="C123" s="123"/>
      <c r="D123" s="124"/>
      <c r="E123" s="124"/>
      <c r="F123" s="125"/>
      <c r="G123" s="125"/>
      <c r="H123" s="124"/>
      <c r="I123" s="105"/>
      <c r="J123" s="106"/>
      <c r="K123" s="106"/>
      <c r="L123" s="107"/>
    </row>
    <row r="124" spans="1:12" x14ac:dyDescent="0.25">
      <c r="A124" s="123" t="str">
        <f t="shared" si="1"/>
        <v xml:space="preserve"> # 121</v>
      </c>
      <c r="B124" s="123"/>
      <c r="C124" s="123"/>
      <c r="D124" s="124"/>
      <c r="E124" s="124"/>
      <c r="F124" s="125"/>
      <c r="G124" s="125"/>
      <c r="H124" s="124"/>
      <c r="I124" s="105"/>
      <c r="J124" s="106"/>
      <c r="K124" s="106"/>
      <c r="L124" s="107"/>
    </row>
    <row r="125" spans="1:12" x14ac:dyDescent="0.25">
      <c r="A125" s="123" t="str">
        <f t="shared" si="1"/>
        <v xml:space="preserve"> # 122</v>
      </c>
      <c r="B125" s="123"/>
      <c r="C125" s="123"/>
      <c r="D125" s="124"/>
      <c r="E125" s="124"/>
      <c r="F125" s="125"/>
      <c r="G125" s="125"/>
      <c r="H125" s="124"/>
      <c r="I125" s="105"/>
      <c r="J125" s="106"/>
      <c r="K125" s="106"/>
      <c r="L125" s="107"/>
    </row>
    <row r="126" spans="1:12" x14ac:dyDescent="0.25">
      <c r="A126" s="123" t="str">
        <f t="shared" si="1"/>
        <v xml:space="preserve"> # 123</v>
      </c>
      <c r="B126" s="123"/>
      <c r="C126" s="123"/>
      <c r="D126" s="124"/>
      <c r="E126" s="124"/>
      <c r="F126" s="125"/>
      <c r="G126" s="125"/>
      <c r="H126" s="124"/>
      <c r="I126" s="105"/>
      <c r="J126" s="106"/>
      <c r="K126" s="106"/>
      <c r="L126" s="107"/>
    </row>
    <row r="127" spans="1:12" x14ac:dyDescent="0.25">
      <c r="A127" s="123" t="str">
        <f t="shared" si="1"/>
        <v xml:space="preserve"> # 124</v>
      </c>
      <c r="B127" s="123"/>
      <c r="C127" s="123"/>
      <c r="D127" s="124"/>
      <c r="E127" s="124"/>
      <c r="F127" s="125"/>
      <c r="G127" s="125"/>
      <c r="H127" s="124"/>
      <c r="I127" s="105"/>
      <c r="J127" s="106"/>
      <c r="K127" s="106"/>
      <c r="L127" s="107"/>
    </row>
    <row r="128" spans="1:12" x14ac:dyDescent="0.25">
      <c r="A128" s="123" t="str">
        <f t="shared" si="1"/>
        <v xml:space="preserve"> # 125</v>
      </c>
      <c r="B128" s="123"/>
      <c r="C128" s="123"/>
      <c r="D128" s="124"/>
      <c r="E128" s="124"/>
      <c r="F128" s="125"/>
      <c r="G128" s="125"/>
      <c r="H128" s="124"/>
      <c r="I128" s="105"/>
      <c r="J128" s="106"/>
      <c r="K128" s="106"/>
      <c r="L128" s="107"/>
    </row>
    <row r="129" spans="1:12" x14ac:dyDescent="0.25">
      <c r="A129" s="123" t="str">
        <f t="shared" si="1"/>
        <v xml:space="preserve"> # 126</v>
      </c>
      <c r="B129" s="123"/>
      <c r="C129" s="123"/>
      <c r="D129" s="124"/>
      <c r="E129" s="124"/>
      <c r="F129" s="125"/>
      <c r="G129" s="125"/>
      <c r="H129" s="124"/>
      <c r="I129" s="105"/>
      <c r="J129" s="106"/>
      <c r="K129" s="106"/>
      <c r="L129" s="107"/>
    </row>
    <row r="130" spans="1:12" x14ac:dyDescent="0.25">
      <c r="A130" s="123" t="str">
        <f t="shared" si="1"/>
        <v xml:space="preserve"> # 127</v>
      </c>
      <c r="B130" s="123"/>
      <c r="C130" s="123"/>
      <c r="D130" s="124"/>
      <c r="E130" s="124"/>
      <c r="F130" s="125"/>
      <c r="G130" s="125"/>
      <c r="H130" s="124"/>
      <c r="I130" s="105"/>
      <c r="J130" s="106"/>
      <c r="K130" s="106"/>
      <c r="L130" s="107"/>
    </row>
    <row r="131" spans="1:12" x14ac:dyDescent="0.25">
      <c r="A131" s="123" t="str">
        <f t="shared" si="1"/>
        <v xml:space="preserve"> # 128</v>
      </c>
      <c r="B131" s="123"/>
      <c r="C131" s="123"/>
      <c r="D131" s="124"/>
      <c r="E131" s="124"/>
      <c r="F131" s="125"/>
      <c r="G131" s="125"/>
      <c r="H131" s="124"/>
      <c r="I131" s="105"/>
      <c r="J131" s="106"/>
      <c r="K131" s="106"/>
      <c r="L131" s="107"/>
    </row>
    <row r="132" spans="1:12" x14ac:dyDescent="0.25">
      <c r="A132" s="123" t="str">
        <f t="shared" si="1"/>
        <v xml:space="preserve"> # 129</v>
      </c>
      <c r="B132" s="123"/>
      <c r="C132" s="123"/>
      <c r="D132" s="124"/>
      <c r="E132" s="124"/>
      <c r="F132" s="125"/>
      <c r="G132" s="125"/>
      <c r="H132" s="124"/>
      <c r="I132" s="105"/>
      <c r="J132" s="106"/>
      <c r="K132" s="106"/>
      <c r="L132" s="107"/>
    </row>
    <row r="133" spans="1:12" x14ac:dyDescent="0.25">
      <c r="A133" s="123" t="str">
        <f t="shared" ref="A133:A196" si="2" xml:space="preserve"> " # " &amp; ROW()-3</f>
        <v xml:space="preserve"> # 130</v>
      </c>
      <c r="B133" s="123"/>
      <c r="C133" s="123"/>
      <c r="D133" s="124"/>
      <c r="E133" s="124"/>
      <c r="F133" s="125"/>
      <c r="G133" s="125"/>
      <c r="H133" s="124"/>
      <c r="I133" s="105"/>
      <c r="J133" s="106"/>
      <c r="K133" s="106"/>
      <c r="L133" s="107"/>
    </row>
    <row r="134" spans="1:12" x14ac:dyDescent="0.25">
      <c r="A134" s="123" t="str">
        <f t="shared" si="2"/>
        <v xml:space="preserve"> # 131</v>
      </c>
      <c r="B134" s="123"/>
      <c r="C134" s="123"/>
      <c r="D134" s="124"/>
      <c r="E134" s="124"/>
      <c r="F134" s="125"/>
      <c r="G134" s="125"/>
      <c r="H134" s="124"/>
      <c r="I134" s="105"/>
      <c r="J134" s="106"/>
      <c r="K134" s="106"/>
      <c r="L134" s="107"/>
    </row>
    <row r="135" spans="1:12" x14ac:dyDescent="0.25">
      <c r="A135" s="123" t="str">
        <f t="shared" si="2"/>
        <v xml:space="preserve"> # 132</v>
      </c>
      <c r="B135" s="123"/>
      <c r="C135" s="123"/>
      <c r="D135" s="124"/>
      <c r="E135" s="124"/>
      <c r="F135" s="125"/>
      <c r="G135" s="125"/>
      <c r="H135" s="124"/>
      <c r="I135" s="105"/>
      <c r="J135" s="106"/>
      <c r="K135" s="106"/>
      <c r="L135" s="107"/>
    </row>
    <row r="136" spans="1:12" x14ac:dyDescent="0.25">
      <c r="A136" s="123" t="str">
        <f t="shared" si="2"/>
        <v xml:space="preserve"> # 133</v>
      </c>
      <c r="B136" s="123"/>
      <c r="C136" s="123"/>
      <c r="D136" s="124"/>
      <c r="E136" s="124"/>
      <c r="F136" s="125"/>
      <c r="G136" s="125"/>
      <c r="H136" s="124"/>
      <c r="I136" s="105"/>
      <c r="J136" s="106"/>
      <c r="K136" s="106"/>
      <c r="L136" s="107"/>
    </row>
    <row r="137" spans="1:12" x14ac:dyDescent="0.25">
      <c r="A137" s="123" t="str">
        <f t="shared" si="2"/>
        <v xml:space="preserve"> # 134</v>
      </c>
      <c r="B137" s="123"/>
      <c r="C137" s="123"/>
      <c r="D137" s="124"/>
      <c r="E137" s="124"/>
      <c r="F137" s="125"/>
      <c r="G137" s="125"/>
      <c r="H137" s="124"/>
      <c r="I137" s="105"/>
      <c r="J137" s="106"/>
      <c r="K137" s="106"/>
      <c r="L137" s="107"/>
    </row>
    <row r="138" spans="1:12" x14ac:dyDescent="0.25">
      <c r="A138" s="123" t="str">
        <f t="shared" si="2"/>
        <v xml:space="preserve"> # 135</v>
      </c>
      <c r="B138" s="123"/>
      <c r="C138" s="123"/>
      <c r="D138" s="124"/>
      <c r="E138" s="124"/>
      <c r="F138" s="125"/>
      <c r="G138" s="125"/>
      <c r="H138" s="124"/>
      <c r="I138" s="105"/>
      <c r="J138" s="106"/>
      <c r="K138" s="106"/>
      <c r="L138" s="107"/>
    </row>
    <row r="139" spans="1:12" x14ac:dyDescent="0.25">
      <c r="A139" s="123" t="str">
        <f t="shared" si="2"/>
        <v xml:space="preserve"> # 136</v>
      </c>
      <c r="B139" s="123"/>
      <c r="C139" s="123"/>
      <c r="D139" s="124"/>
      <c r="E139" s="124"/>
      <c r="F139" s="125"/>
      <c r="G139" s="125"/>
      <c r="H139" s="124"/>
      <c r="I139" s="105"/>
      <c r="J139" s="106"/>
      <c r="K139" s="106"/>
      <c r="L139" s="107"/>
    </row>
    <row r="140" spans="1:12" x14ac:dyDescent="0.25">
      <c r="A140" s="123" t="str">
        <f t="shared" si="2"/>
        <v xml:space="preserve"> # 137</v>
      </c>
      <c r="B140" s="123"/>
      <c r="C140" s="123"/>
      <c r="D140" s="124"/>
      <c r="E140" s="124"/>
      <c r="F140" s="125"/>
      <c r="G140" s="125"/>
      <c r="H140" s="124"/>
      <c r="I140" s="105"/>
      <c r="J140" s="106"/>
      <c r="K140" s="106"/>
      <c r="L140" s="107"/>
    </row>
    <row r="141" spans="1:12" x14ac:dyDescent="0.25">
      <c r="A141" s="123" t="str">
        <f t="shared" si="2"/>
        <v xml:space="preserve"> # 138</v>
      </c>
      <c r="B141" s="123"/>
      <c r="C141" s="123"/>
      <c r="D141" s="124"/>
      <c r="E141" s="124"/>
      <c r="F141" s="125"/>
      <c r="G141" s="125"/>
      <c r="H141" s="124"/>
      <c r="I141" s="105"/>
      <c r="J141" s="106"/>
      <c r="K141" s="106"/>
      <c r="L141" s="107"/>
    </row>
    <row r="142" spans="1:12" x14ac:dyDescent="0.25">
      <c r="A142" s="123" t="str">
        <f t="shared" si="2"/>
        <v xml:space="preserve"> # 139</v>
      </c>
      <c r="B142" s="123"/>
      <c r="C142" s="123"/>
      <c r="D142" s="124"/>
      <c r="E142" s="124"/>
      <c r="F142" s="125"/>
      <c r="G142" s="125"/>
      <c r="H142" s="124"/>
      <c r="I142" s="105"/>
      <c r="J142" s="106"/>
      <c r="K142" s="106"/>
      <c r="L142" s="107"/>
    </row>
    <row r="143" spans="1:12" x14ac:dyDescent="0.25">
      <c r="A143" s="123" t="str">
        <f t="shared" si="2"/>
        <v xml:space="preserve"> # 140</v>
      </c>
      <c r="B143" s="123"/>
      <c r="C143" s="123"/>
      <c r="D143" s="124"/>
      <c r="E143" s="124"/>
      <c r="F143" s="125"/>
      <c r="G143" s="125"/>
      <c r="H143" s="124"/>
      <c r="I143" s="105"/>
      <c r="J143" s="106"/>
      <c r="K143" s="106"/>
      <c r="L143" s="107"/>
    </row>
    <row r="144" spans="1:12" x14ac:dyDescent="0.25">
      <c r="A144" s="123" t="str">
        <f t="shared" si="2"/>
        <v xml:space="preserve"> # 141</v>
      </c>
      <c r="B144" s="123"/>
      <c r="C144" s="123"/>
      <c r="D144" s="124"/>
      <c r="E144" s="124"/>
      <c r="F144" s="125"/>
      <c r="G144" s="125"/>
      <c r="H144" s="124"/>
      <c r="I144" s="105"/>
      <c r="J144" s="106"/>
      <c r="K144" s="106"/>
      <c r="L144" s="107"/>
    </row>
    <row r="145" spans="1:12" x14ac:dyDescent="0.25">
      <c r="A145" s="123" t="str">
        <f t="shared" si="2"/>
        <v xml:space="preserve"> # 142</v>
      </c>
      <c r="B145" s="123"/>
      <c r="C145" s="123"/>
      <c r="D145" s="124"/>
      <c r="E145" s="124"/>
      <c r="F145" s="125"/>
      <c r="G145" s="125"/>
      <c r="H145" s="124"/>
      <c r="I145" s="105"/>
      <c r="J145" s="106"/>
      <c r="K145" s="106"/>
      <c r="L145" s="107"/>
    </row>
    <row r="146" spans="1:12" x14ac:dyDescent="0.25">
      <c r="A146" s="123" t="str">
        <f t="shared" si="2"/>
        <v xml:space="preserve"> # 143</v>
      </c>
      <c r="B146" s="123"/>
      <c r="C146" s="123"/>
      <c r="D146" s="124"/>
      <c r="E146" s="124"/>
      <c r="F146" s="125"/>
      <c r="G146" s="125"/>
      <c r="H146" s="124"/>
      <c r="I146" s="105"/>
      <c r="J146" s="106"/>
      <c r="K146" s="106"/>
      <c r="L146" s="107"/>
    </row>
    <row r="147" spans="1:12" x14ac:dyDescent="0.25">
      <c r="A147" s="123" t="str">
        <f t="shared" si="2"/>
        <v xml:space="preserve"> # 144</v>
      </c>
      <c r="B147" s="123"/>
      <c r="C147" s="123"/>
      <c r="D147" s="124"/>
      <c r="E147" s="124"/>
      <c r="F147" s="125"/>
      <c r="G147" s="125"/>
      <c r="H147" s="124"/>
      <c r="I147" s="105"/>
      <c r="J147" s="106"/>
      <c r="K147" s="106"/>
      <c r="L147" s="107"/>
    </row>
    <row r="148" spans="1:12" x14ac:dyDescent="0.25">
      <c r="A148" s="123" t="str">
        <f t="shared" si="2"/>
        <v xml:space="preserve"> # 145</v>
      </c>
      <c r="B148" s="123"/>
      <c r="C148" s="123"/>
      <c r="D148" s="124"/>
      <c r="E148" s="124"/>
      <c r="F148" s="125"/>
      <c r="G148" s="125"/>
      <c r="H148" s="124"/>
      <c r="I148" s="105"/>
      <c r="J148" s="106"/>
      <c r="K148" s="106"/>
      <c r="L148" s="107"/>
    </row>
    <row r="149" spans="1:12" x14ac:dyDescent="0.25">
      <c r="A149" s="123" t="str">
        <f t="shared" si="2"/>
        <v xml:space="preserve"> # 146</v>
      </c>
      <c r="B149" s="123"/>
      <c r="C149" s="123"/>
      <c r="D149" s="124"/>
      <c r="E149" s="124"/>
      <c r="F149" s="125"/>
      <c r="G149" s="125"/>
      <c r="H149" s="124"/>
      <c r="I149" s="105"/>
      <c r="J149" s="106"/>
      <c r="K149" s="106"/>
      <c r="L149" s="107"/>
    </row>
    <row r="150" spans="1:12" x14ac:dyDescent="0.25">
      <c r="A150" s="123" t="str">
        <f t="shared" si="2"/>
        <v xml:space="preserve"> # 147</v>
      </c>
      <c r="B150" s="123"/>
      <c r="C150" s="123"/>
      <c r="D150" s="124"/>
      <c r="E150" s="124"/>
      <c r="F150" s="125"/>
      <c r="G150" s="125"/>
      <c r="H150" s="124"/>
      <c r="I150" s="105"/>
      <c r="J150" s="106"/>
      <c r="K150" s="106"/>
      <c r="L150" s="107"/>
    </row>
    <row r="151" spans="1:12" x14ac:dyDescent="0.25">
      <c r="A151" s="123" t="str">
        <f t="shared" si="2"/>
        <v xml:space="preserve"> # 148</v>
      </c>
      <c r="B151" s="123"/>
      <c r="C151" s="123"/>
      <c r="D151" s="124"/>
      <c r="E151" s="124"/>
      <c r="F151" s="125"/>
      <c r="G151" s="125"/>
      <c r="H151" s="124"/>
      <c r="I151" s="105"/>
      <c r="J151" s="106"/>
      <c r="K151" s="106"/>
      <c r="L151" s="107"/>
    </row>
    <row r="152" spans="1:12" x14ac:dyDescent="0.25">
      <c r="A152" s="123" t="str">
        <f t="shared" si="2"/>
        <v xml:space="preserve"> # 149</v>
      </c>
      <c r="B152" s="123"/>
      <c r="C152" s="123"/>
      <c r="D152" s="124"/>
      <c r="E152" s="124"/>
      <c r="F152" s="125"/>
      <c r="G152" s="125"/>
      <c r="H152" s="124"/>
      <c r="I152" s="105"/>
      <c r="J152" s="106"/>
      <c r="K152" s="106"/>
      <c r="L152" s="107"/>
    </row>
    <row r="153" spans="1:12" x14ac:dyDescent="0.25">
      <c r="A153" s="123" t="str">
        <f t="shared" si="2"/>
        <v xml:space="preserve"> # 150</v>
      </c>
      <c r="B153" s="123"/>
      <c r="C153" s="123"/>
      <c r="D153" s="124"/>
      <c r="E153" s="124"/>
      <c r="F153" s="125"/>
      <c r="G153" s="125"/>
      <c r="H153" s="124"/>
      <c r="I153" s="105"/>
      <c r="J153" s="106"/>
      <c r="K153" s="106"/>
      <c r="L153" s="107"/>
    </row>
    <row r="154" spans="1:12" x14ac:dyDescent="0.25">
      <c r="A154" s="123" t="str">
        <f t="shared" si="2"/>
        <v xml:space="preserve"> # 151</v>
      </c>
      <c r="B154" s="123"/>
      <c r="C154" s="123"/>
      <c r="D154" s="124"/>
      <c r="E154" s="124"/>
      <c r="F154" s="125"/>
      <c r="G154" s="125"/>
      <c r="H154" s="124"/>
      <c r="I154" s="105"/>
      <c r="J154" s="106"/>
      <c r="K154" s="106"/>
      <c r="L154" s="107"/>
    </row>
    <row r="155" spans="1:12" x14ac:dyDescent="0.25">
      <c r="A155" s="123" t="str">
        <f t="shared" si="2"/>
        <v xml:space="preserve"> # 152</v>
      </c>
      <c r="B155" s="123"/>
      <c r="C155" s="123"/>
      <c r="D155" s="124"/>
      <c r="E155" s="124"/>
      <c r="F155" s="125"/>
      <c r="G155" s="125"/>
      <c r="H155" s="124"/>
      <c r="I155" s="105"/>
      <c r="J155" s="106"/>
      <c r="K155" s="106"/>
      <c r="L155" s="107"/>
    </row>
    <row r="156" spans="1:12" x14ac:dyDescent="0.25">
      <c r="A156" s="123" t="str">
        <f t="shared" si="2"/>
        <v xml:space="preserve"> # 153</v>
      </c>
      <c r="B156" s="123"/>
      <c r="C156" s="123"/>
      <c r="D156" s="124"/>
      <c r="E156" s="124"/>
      <c r="F156" s="125"/>
      <c r="G156" s="125"/>
      <c r="H156" s="124"/>
      <c r="I156" s="105"/>
      <c r="J156" s="106"/>
      <c r="K156" s="106"/>
      <c r="L156" s="107"/>
    </row>
    <row r="157" spans="1:12" x14ac:dyDescent="0.25">
      <c r="A157" s="123" t="str">
        <f t="shared" si="2"/>
        <v xml:space="preserve"> # 154</v>
      </c>
      <c r="B157" s="123"/>
      <c r="C157" s="123"/>
      <c r="D157" s="124"/>
      <c r="E157" s="124"/>
      <c r="F157" s="125"/>
      <c r="G157" s="125"/>
      <c r="H157" s="124"/>
      <c r="I157" s="105"/>
      <c r="J157" s="106"/>
      <c r="K157" s="106"/>
      <c r="L157" s="107"/>
    </row>
    <row r="158" spans="1:12" x14ac:dyDescent="0.25">
      <c r="A158" s="123" t="str">
        <f t="shared" si="2"/>
        <v xml:space="preserve"> # 155</v>
      </c>
      <c r="B158" s="123"/>
      <c r="C158" s="123"/>
      <c r="D158" s="124"/>
      <c r="E158" s="124"/>
      <c r="F158" s="125"/>
      <c r="G158" s="125"/>
      <c r="H158" s="124"/>
      <c r="I158" s="105"/>
      <c r="J158" s="106"/>
      <c r="K158" s="106"/>
      <c r="L158" s="107"/>
    </row>
    <row r="159" spans="1:12" x14ac:dyDescent="0.25">
      <c r="A159" s="123" t="str">
        <f t="shared" si="2"/>
        <v xml:space="preserve"> # 156</v>
      </c>
      <c r="B159" s="123"/>
      <c r="C159" s="123"/>
      <c r="D159" s="124"/>
      <c r="E159" s="124"/>
      <c r="F159" s="125"/>
      <c r="G159" s="125"/>
      <c r="H159" s="124"/>
      <c r="I159" s="105"/>
      <c r="J159" s="106"/>
      <c r="K159" s="106"/>
      <c r="L159" s="107"/>
    </row>
    <row r="160" spans="1:12" x14ac:dyDescent="0.25">
      <c r="A160" s="123" t="str">
        <f t="shared" si="2"/>
        <v xml:space="preserve"> # 157</v>
      </c>
      <c r="B160" s="123"/>
      <c r="C160" s="123"/>
      <c r="D160" s="124"/>
      <c r="E160" s="124"/>
      <c r="F160" s="125"/>
      <c r="G160" s="125"/>
      <c r="H160" s="124"/>
      <c r="I160" s="105"/>
      <c r="J160" s="106"/>
      <c r="K160" s="106"/>
      <c r="L160" s="107"/>
    </row>
    <row r="161" spans="1:12" x14ac:dyDescent="0.25">
      <c r="A161" s="123" t="str">
        <f t="shared" si="2"/>
        <v xml:space="preserve"> # 158</v>
      </c>
      <c r="B161" s="123"/>
      <c r="C161" s="123"/>
      <c r="D161" s="124"/>
      <c r="E161" s="124"/>
      <c r="F161" s="125"/>
      <c r="G161" s="125"/>
      <c r="H161" s="124"/>
      <c r="I161" s="105"/>
      <c r="J161" s="106"/>
      <c r="K161" s="106"/>
      <c r="L161" s="107"/>
    </row>
    <row r="162" spans="1:12" x14ac:dyDescent="0.25">
      <c r="A162" s="123" t="str">
        <f t="shared" si="2"/>
        <v xml:space="preserve"> # 159</v>
      </c>
      <c r="B162" s="123"/>
      <c r="C162" s="123"/>
      <c r="D162" s="124"/>
      <c r="E162" s="124"/>
      <c r="F162" s="125"/>
      <c r="G162" s="125"/>
      <c r="H162" s="124"/>
      <c r="I162" s="105"/>
      <c r="J162" s="106"/>
      <c r="K162" s="106"/>
      <c r="L162" s="107"/>
    </row>
    <row r="163" spans="1:12" x14ac:dyDescent="0.25">
      <c r="A163" s="123" t="str">
        <f t="shared" si="2"/>
        <v xml:space="preserve"> # 160</v>
      </c>
      <c r="B163" s="123"/>
      <c r="C163" s="123"/>
      <c r="D163" s="124"/>
      <c r="E163" s="124"/>
      <c r="F163" s="125"/>
      <c r="G163" s="125"/>
      <c r="H163" s="124"/>
      <c r="I163" s="105"/>
      <c r="J163" s="106"/>
      <c r="K163" s="106"/>
      <c r="L163" s="107"/>
    </row>
    <row r="164" spans="1:12" x14ac:dyDescent="0.25">
      <c r="A164" s="123" t="str">
        <f t="shared" si="2"/>
        <v xml:space="preserve"> # 161</v>
      </c>
      <c r="B164" s="123"/>
      <c r="C164" s="123"/>
      <c r="D164" s="124"/>
      <c r="E164" s="124"/>
      <c r="F164" s="125"/>
      <c r="G164" s="125"/>
      <c r="H164" s="124"/>
      <c r="I164" s="105"/>
      <c r="J164" s="106"/>
      <c r="K164" s="106"/>
      <c r="L164" s="107"/>
    </row>
    <row r="165" spans="1:12" x14ac:dyDescent="0.25">
      <c r="A165" s="123" t="str">
        <f t="shared" si="2"/>
        <v xml:space="preserve"> # 162</v>
      </c>
      <c r="B165" s="123"/>
      <c r="C165" s="123"/>
      <c r="D165" s="124"/>
      <c r="E165" s="124"/>
      <c r="F165" s="125"/>
      <c r="G165" s="125"/>
      <c r="H165" s="124"/>
      <c r="I165" s="105"/>
      <c r="J165" s="106"/>
      <c r="K165" s="106"/>
      <c r="L165" s="107"/>
    </row>
    <row r="166" spans="1:12" x14ac:dyDescent="0.25">
      <c r="A166" s="123" t="str">
        <f t="shared" si="2"/>
        <v xml:space="preserve"> # 163</v>
      </c>
      <c r="B166" s="123"/>
      <c r="C166" s="123"/>
      <c r="D166" s="124"/>
      <c r="E166" s="124"/>
      <c r="F166" s="125"/>
      <c r="G166" s="125"/>
      <c r="H166" s="124"/>
      <c r="I166" s="105"/>
      <c r="J166" s="106"/>
      <c r="K166" s="106"/>
      <c r="L166" s="107"/>
    </row>
    <row r="167" spans="1:12" x14ac:dyDescent="0.25">
      <c r="A167" s="123" t="str">
        <f t="shared" si="2"/>
        <v xml:space="preserve"> # 164</v>
      </c>
      <c r="B167" s="123"/>
      <c r="C167" s="123"/>
      <c r="D167" s="124"/>
      <c r="E167" s="124"/>
      <c r="F167" s="125"/>
      <c r="G167" s="125"/>
      <c r="H167" s="124"/>
      <c r="I167" s="105"/>
      <c r="J167" s="106"/>
      <c r="K167" s="106"/>
      <c r="L167" s="107"/>
    </row>
    <row r="168" spans="1:12" x14ac:dyDescent="0.25">
      <c r="A168" s="123" t="str">
        <f t="shared" si="2"/>
        <v xml:space="preserve"> # 165</v>
      </c>
      <c r="B168" s="123"/>
      <c r="C168" s="123"/>
      <c r="D168" s="124"/>
      <c r="E168" s="124"/>
      <c r="F168" s="125"/>
      <c r="G168" s="125"/>
      <c r="H168" s="124"/>
      <c r="I168" s="105"/>
      <c r="J168" s="106"/>
      <c r="K168" s="106"/>
      <c r="L168" s="107"/>
    </row>
    <row r="169" spans="1:12" x14ac:dyDescent="0.25">
      <c r="A169" s="123" t="str">
        <f t="shared" si="2"/>
        <v xml:space="preserve"> # 166</v>
      </c>
      <c r="B169" s="123"/>
      <c r="C169" s="123"/>
      <c r="D169" s="124"/>
      <c r="E169" s="124"/>
      <c r="F169" s="125"/>
      <c r="G169" s="125"/>
      <c r="H169" s="124"/>
      <c r="I169" s="105"/>
      <c r="J169" s="106"/>
      <c r="K169" s="106"/>
      <c r="L169" s="107"/>
    </row>
    <row r="170" spans="1:12" x14ac:dyDescent="0.25">
      <c r="A170" s="123" t="str">
        <f t="shared" si="2"/>
        <v xml:space="preserve"> # 167</v>
      </c>
      <c r="B170" s="123"/>
      <c r="C170" s="123"/>
      <c r="D170" s="124"/>
      <c r="E170" s="124"/>
      <c r="F170" s="125"/>
      <c r="G170" s="125"/>
      <c r="H170" s="124"/>
      <c r="I170" s="105"/>
      <c r="J170" s="106"/>
      <c r="K170" s="106"/>
      <c r="L170" s="107"/>
    </row>
    <row r="171" spans="1:12" x14ac:dyDescent="0.25">
      <c r="A171" s="123" t="str">
        <f t="shared" si="2"/>
        <v xml:space="preserve"> # 168</v>
      </c>
      <c r="B171" s="123"/>
      <c r="C171" s="123"/>
      <c r="D171" s="124"/>
      <c r="E171" s="124"/>
      <c r="F171" s="125"/>
      <c r="G171" s="125"/>
      <c r="H171" s="124"/>
      <c r="I171" s="105"/>
      <c r="J171" s="106"/>
      <c r="K171" s="106"/>
      <c r="L171" s="107"/>
    </row>
    <row r="172" spans="1:12" x14ac:dyDescent="0.25">
      <c r="A172" s="123" t="str">
        <f t="shared" si="2"/>
        <v xml:space="preserve"> # 169</v>
      </c>
      <c r="B172" s="123"/>
      <c r="C172" s="123"/>
      <c r="D172" s="124"/>
      <c r="E172" s="124"/>
      <c r="F172" s="125"/>
      <c r="G172" s="125"/>
      <c r="H172" s="124"/>
      <c r="I172" s="105"/>
      <c r="J172" s="106"/>
      <c r="K172" s="106"/>
      <c r="L172" s="107"/>
    </row>
    <row r="173" spans="1:12" x14ac:dyDescent="0.25">
      <c r="A173" s="123" t="str">
        <f t="shared" si="2"/>
        <v xml:space="preserve"> # 170</v>
      </c>
      <c r="B173" s="123"/>
      <c r="C173" s="123"/>
      <c r="D173" s="124"/>
      <c r="E173" s="124"/>
      <c r="F173" s="125"/>
      <c r="G173" s="125"/>
      <c r="H173" s="124"/>
      <c r="I173" s="105"/>
      <c r="J173" s="106"/>
      <c r="K173" s="106"/>
      <c r="L173" s="107"/>
    </row>
    <row r="174" spans="1:12" x14ac:dyDescent="0.25">
      <c r="A174" s="123" t="str">
        <f t="shared" si="2"/>
        <v xml:space="preserve"> # 171</v>
      </c>
      <c r="B174" s="123"/>
      <c r="C174" s="123"/>
      <c r="D174" s="124"/>
      <c r="E174" s="124"/>
      <c r="F174" s="125"/>
      <c r="G174" s="125"/>
      <c r="H174" s="124"/>
      <c r="I174" s="105"/>
      <c r="J174" s="106"/>
      <c r="K174" s="106"/>
      <c r="L174" s="107"/>
    </row>
    <row r="175" spans="1:12" x14ac:dyDescent="0.25">
      <c r="A175" s="123" t="str">
        <f t="shared" si="2"/>
        <v xml:space="preserve"> # 172</v>
      </c>
      <c r="B175" s="123"/>
      <c r="C175" s="123"/>
      <c r="D175" s="124"/>
      <c r="E175" s="124"/>
      <c r="F175" s="125"/>
      <c r="G175" s="125"/>
      <c r="H175" s="124"/>
      <c r="I175" s="105"/>
      <c r="J175" s="106"/>
      <c r="K175" s="106"/>
      <c r="L175" s="107"/>
    </row>
    <row r="176" spans="1:12" x14ac:dyDescent="0.25">
      <c r="A176" s="123" t="str">
        <f t="shared" si="2"/>
        <v xml:space="preserve"> # 173</v>
      </c>
      <c r="B176" s="123"/>
      <c r="C176" s="123"/>
      <c r="D176" s="124"/>
      <c r="E176" s="124"/>
      <c r="F176" s="125"/>
      <c r="G176" s="125"/>
      <c r="H176" s="124"/>
      <c r="I176" s="105"/>
      <c r="J176" s="106"/>
      <c r="K176" s="106"/>
      <c r="L176" s="107"/>
    </row>
    <row r="177" spans="1:12" x14ac:dyDescent="0.25">
      <c r="A177" s="123" t="str">
        <f t="shared" si="2"/>
        <v xml:space="preserve"> # 174</v>
      </c>
      <c r="B177" s="123"/>
      <c r="C177" s="123"/>
      <c r="D177" s="124"/>
      <c r="E177" s="124"/>
      <c r="F177" s="125"/>
      <c r="G177" s="125"/>
      <c r="H177" s="124"/>
      <c r="I177" s="105"/>
      <c r="J177" s="106"/>
      <c r="K177" s="106"/>
      <c r="L177" s="107"/>
    </row>
    <row r="178" spans="1:12" x14ac:dyDescent="0.25">
      <c r="A178" s="123" t="str">
        <f t="shared" si="2"/>
        <v xml:space="preserve"> # 175</v>
      </c>
      <c r="B178" s="123"/>
      <c r="C178" s="123"/>
      <c r="D178" s="124"/>
      <c r="E178" s="124"/>
      <c r="F178" s="125"/>
      <c r="G178" s="125"/>
      <c r="H178" s="124"/>
      <c r="I178" s="105"/>
      <c r="J178" s="106"/>
      <c r="K178" s="106"/>
      <c r="L178" s="107"/>
    </row>
    <row r="179" spans="1:12" x14ac:dyDescent="0.25">
      <c r="A179" s="123" t="str">
        <f t="shared" si="2"/>
        <v xml:space="preserve"> # 176</v>
      </c>
      <c r="B179" s="123"/>
      <c r="C179" s="123"/>
      <c r="D179" s="124"/>
      <c r="E179" s="124"/>
      <c r="F179" s="125"/>
      <c r="G179" s="125"/>
      <c r="H179" s="124"/>
      <c r="I179" s="105"/>
      <c r="J179" s="106"/>
      <c r="K179" s="106"/>
      <c r="L179" s="107"/>
    </row>
    <row r="180" spans="1:12" x14ac:dyDescent="0.25">
      <c r="A180" s="123" t="str">
        <f t="shared" si="2"/>
        <v xml:space="preserve"> # 177</v>
      </c>
      <c r="B180" s="123"/>
      <c r="C180" s="123"/>
      <c r="D180" s="124"/>
      <c r="E180" s="124"/>
      <c r="F180" s="125"/>
      <c r="G180" s="125"/>
      <c r="H180" s="124"/>
      <c r="I180" s="105"/>
      <c r="J180" s="106"/>
      <c r="K180" s="106"/>
      <c r="L180" s="107"/>
    </row>
    <row r="181" spans="1:12" x14ac:dyDescent="0.25">
      <c r="A181" s="123" t="str">
        <f t="shared" si="2"/>
        <v xml:space="preserve"> # 178</v>
      </c>
      <c r="B181" s="123"/>
      <c r="C181" s="123"/>
      <c r="D181" s="124"/>
      <c r="E181" s="124"/>
      <c r="F181" s="125"/>
      <c r="G181" s="125"/>
      <c r="H181" s="124"/>
      <c r="I181" s="105"/>
      <c r="J181" s="106"/>
      <c r="K181" s="106"/>
      <c r="L181" s="107"/>
    </row>
    <row r="182" spans="1:12" x14ac:dyDescent="0.25">
      <c r="A182" s="123" t="str">
        <f t="shared" si="2"/>
        <v xml:space="preserve"> # 179</v>
      </c>
      <c r="B182" s="123"/>
      <c r="C182" s="123"/>
      <c r="D182" s="124"/>
      <c r="E182" s="124"/>
      <c r="F182" s="125"/>
      <c r="G182" s="125"/>
      <c r="H182" s="124"/>
      <c r="I182" s="105"/>
      <c r="J182" s="106"/>
      <c r="K182" s="106"/>
      <c r="L182" s="107"/>
    </row>
    <row r="183" spans="1:12" x14ac:dyDescent="0.25">
      <c r="A183" s="123" t="str">
        <f t="shared" si="2"/>
        <v xml:space="preserve"> # 180</v>
      </c>
      <c r="B183" s="123"/>
      <c r="C183" s="123"/>
      <c r="D183" s="124"/>
      <c r="E183" s="124"/>
      <c r="F183" s="125"/>
      <c r="G183" s="125"/>
      <c r="H183" s="124"/>
      <c r="I183" s="105"/>
      <c r="J183" s="106"/>
      <c r="K183" s="106"/>
      <c r="L183" s="107"/>
    </row>
    <row r="184" spans="1:12" x14ac:dyDescent="0.25">
      <c r="A184" s="123" t="str">
        <f t="shared" si="2"/>
        <v xml:space="preserve"> # 181</v>
      </c>
      <c r="B184" s="123"/>
      <c r="C184" s="123"/>
      <c r="D184" s="124"/>
      <c r="E184" s="124"/>
      <c r="F184" s="125"/>
      <c r="G184" s="125"/>
      <c r="H184" s="124"/>
      <c r="I184" s="105"/>
      <c r="J184" s="106"/>
      <c r="K184" s="106"/>
      <c r="L184" s="107"/>
    </row>
    <row r="185" spans="1:12" x14ac:dyDescent="0.25">
      <c r="A185" s="123" t="str">
        <f t="shared" si="2"/>
        <v xml:space="preserve"> # 182</v>
      </c>
      <c r="B185" s="123"/>
      <c r="C185" s="123"/>
      <c r="D185" s="124"/>
      <c r="E185" s="124"/>
      <c r="F185" s="125"/>
      <c r="G185" s="125"/>
      <c r="H185" s="124"/>
      <c r="I185" s="105"/>
      <c r="J185" s="106"/>
      <c r="K185" s="106"/>
      <c r="L185" s="107"/>
    </row>
    <row r="186" spans="1:12" x14ac:dyDescent="0.25">
      <c r="A186" s="123" t="str">
        <f t="shared" si="2"/>
        <v xml:space="preserve"> # 183</v>
      </c>
      <c r="B186" s="123"/>
      <c r="C186" s="123"/>
      <c r="D186" s="124"/>
      <c r="E186" s="124"/>
      <c r="F186" s="125"/>
      <c r="G186" s="125"/>
      <c r="H186" s="124"/>
      <c r="I186" s="105"/>
      <c r="J186" s="106"/>
      <c r="K186" s="106"/>
      <c r="L186" s="107"/>
    </row>
    <row r="187" spans="1:12" x14ac:dyDescent="0.25">
      <c r="A187" s="123" t="str">
        <f t="shared" si="2"/>
        <v xml:space="preserve"> # 184</v>
      </c>
      <c r="B187" s="123"/>
      <c r="C187" s="123"/>
      <c r="D187" s="124"/>
      <c r="E187" s="124"/>
      <c r="F187" s="125"/>
      <c r="G187" s="125"/>
      <c r="H187" s="124"/>
      <c r="I187" s="105"/>
      <c r="J187" s="106"/>
      <c r="K187" s="106"/>
      <c r="L187" s="107"/>
    </row>
    <row r="188" spans="1:12" x14ac:dyDescent="0.25">
      <c r="A188" s="123" t="str">
        <f t="shared" si="2"/>
        <v xml:space="preserve"> # 185</v>
      </c>
      <c r="B188" s="123"/>
      <c r="C188" s="123"/>
      <c r="D188" s="124"/>
      <c r="E188" s="124"/>
      <c r="F188" s="125"/>
      <c r="G188" s="125"/>
      <c r="H188" s="124"/>
      <c r="I188" s="105"/>
      <c r="J188" s="106"/>
      <c r="K188" s="106"/>
      <c r="L188" s="107"/>
    </row>
    <row r="189" spans="1:12" x14ac:dyDescent="0.25">
      <c r="A189" s="123" t="str">
        <f t="shared" si="2"/>
        <v xml:space="preserve"> # 186</v>
      </c>
      <c r="B189" s="123"/>
      <c r="C189" s="123"/>
      <c r="D189" s="124"/>
      <c r="E189" s="124"/>
      <c r="F189" s="125"/>
      <c r="G189" s="125"/>
      <c r="H189" s="124"/>
      <c r="I189" s="105"/>
      <c r="J189" s="106"/>
      <c r="K189" s="106"/>
      <c r="L189" s="107"/>
    </row>
    <row r="190" spans="1:12" x14ac:dyDescent="0.25">
      <c r="A190" s="123" t="str">
        <f t="shared" si="2"/>
        <v xml:space="preserve"> # 187</v>
      </c>
      <c r="B190" s="123"/>
      <c r="C190" s="123"/>
      <c r="D190" s="124"/>
      <c r="E190" s="124"/>
      <c r="F190" s="125"/>
      <c r="G190" s="125"/>
      <c r="H190" s="124"/>
      <c r="I190" s="105"/>
      <c r="J190" s="106"/>
      <c r="K190" s="106"/>
      <c r="L190" s="107"/>
    </row>
    <row r="191" spans="1:12" x14ac:dyDescent="0.25">
      <c r="A191" s="123" t="str">
        <f t="shared" si="2"/>
        <v xml:space="preserve"> # 188</v>
      </c>
      <c r="B191" s="123"/>
      <c r="C191" s="123"/>
      <c r="D191" s="124"/>
      <c r="E191" s="124"/>
      <c r="F191" s="125"/>
      <c r="G191" s="125"/>
      <c r="H191" s="124"/>
      <c r="I191" s="105"/>
      <c r="J191" s="106"/>
      <c r="K191" s="106"/>
      <c r="L191" s="107"/>
    </row>
    <row r="192" spans="1:12" x14ac:dyDescent="0.25">
      <c r="A192" s="123" t="str">
        <f t="shared" si="2"/>
        <v xml:space="preserve"> # 189</v>
      </c>
      <c r="B192" s="123"/>
      <c r="C192" s="123"/>
      <c r="D192" s="124"/>
      <c r="E192" s="124"/>
      <c r="F192" s="125"/>
      <c r="G192" s="125"/>
      <c r="H192" s="124"/>
      <c r="I192" s="105"/>
      <c r="J192" s="106"/>
      <c r="K192" s="106"/>
      <c r="L192" s="107"/>
    </row>
    <row r="193" spans="1:12" x14ac:dyDescent="0.25">
      <c r="A193" s="123" t="str">
        <f t="shared" si="2"/>
        <v xml:space="preserve"> # 190</v>
      </c>
      <c r="B193" s="123"/>
      <c r="C193" s="123"/>
      <c r="D193" s="124"/>
      <c r="E193" s="124"/>
      <c r="F193" s="125"/>
      <c r="G193" s="125"/>
      <c r="H193" s="124"/>
      <c r="I193" s="105"/>
      <c r="J193" s="106"/>
      <c r="K193" s="106"/>
      <c r="L193" s="107"/>
    </row>
    <row r="194" spans="1:12" x14ac:dyDescent="0.25">
      <c r="A194" s="123" t="str">
        <f t="shared" si="2"/>
        <v xml:space="preserve"> # 191</v>
      </c>
      <c r="B194" s="123"/>
      <c r="C194" s="123"/>
      <c r="D194" s="124"/>
      <c r="E194" s="124"/>
      <c r="F194" s="125"/>
      <c r="G194" s="125"/>
      <c r="H194" s="124"/>
      <c r="I194" s="105"/>
      <c r="J194" s="106"/>
      <c r="K194" s="106"/>
      <c r="L194" s="107"/>
    </row>
    <row r="195" spans="1:12" x14ac:dyDescent="0.25">
      <c r="A195" s="123" t="str">
        <f t="shared" si="2"/>
        <v xml:space="preserve"> # 192</v>
      </c>
      <c r="B195" s="123"/>
      <c r="C195" s="123"/>
      <c r="D195" s="124"/>
      <c r="E195" s="124"/>
      <c r="F195" s="125"/>
      <c r="G195" s="125"/>
      <c r="H195" s="124"/>
      <c r="I195" s="105"/>
      <c r="J195" s="106"/>
      <c r="K195" s="106"/>
      <c r="L195" s="107"/>
    </row>
    <row r="196" spans="1:12" x14ac:dyDescent="0.25">
      <c r="A196" s="123" t="str">
        <f t="shared" si="2"/>
        <v xml:space="preserve"> # 193</v>
      </c>
      <c r="B196" s="123"/>
      <c r="C196" s="123"/>
      <c r="D196" s="124"/>
      <c r="E196" s="124"/>
      <c r="F196" s="125"/>
      <c r="G196" s="125"/>
      <c r="H196" s="124"/>
      <c r="I196" s="105"/>
      <c r="J196" s="106"/>
      <c r="K196" s="106"/>
      <c r="L196" s="107"/>
    </row>
    <row r="197" spans="1:12" x14ac:dyDescent="0.25">
      <c r="A197" s="123" t="str">
        <f t="shared" ref="A197:A200" si="3" xml:space="preserve"> " # " &amp; ROW()-3</f>
        <v xml:space="preserve"> # 194</v>
      </c>
      <c r="B197" s="123"/>
      <c r="C197" s="123"/>
      <c r="D197" s="124"/>
      <c r="E197" s="124"/>
      <c r="F197" s="125"/>
      <c r="G197" s="125"/>
      <c r="H197" s="124"/>
      <c r="I197" s="105"/>
      <c r="J197" s="106"/>
      <c r="K197" s="106"/>
      <c r="L197" s="107"/>
    </row>
    <row r="198" spans="1:12" x14ac:dyDescent="0.25">
      <c r="A198" s="123" t="str">
        <f t="shared" si="3"/>
        <v xml:space="preserve"> # 195</v>
      </c>
      <c r="B198" s="123"/>
      <c r="C198" s="123"/>
      <c r="D198" s="124"/>
      <c r="E198" s="124"/>
      <c r="F198" s="125"/>
      <c r="G198" s="125"/>
      <c r="H198" s="124"/>
      <c r="I198" s="105"/>
      <c r="J198" s="106"/>
      <c r="K198" s="106"/>
      <c r="L198" s="107"/>
    </row>
    <row r="199" spans="1:12" x14ac:dyDescent="0.25">
      <c r="A199" s="123" t="str">
        <f t="shared" si="3"/>
        <v xml:space="preserve"> # 196</v>
      </c>
      <c r="B199" s="123"/>
      <c r="C199" s="123"/>
      <c r="D199" s="124"/>
      <c r="E199" s="124"/>
      <c r="F199" s="125"/>
      <c r="G199" s="125"/>
      <c r="H199" s="124"/>
      <c r="I199" s="105"/>
      <c r="J199" s="106"/>
      <c r="K199" s="106"/>
      <c r="L199" s="107"/>
    </row>
    <row r="200" spans="1:12" ht="15.75" thickBot="1" x14ac:dyDescent="0.3">
      <c r="A200" s="123" t="str">
        <f t="shared" si="3"/>
        <v xml:space="preserve"> # 197</v>
      </c>
      <c r="B200" s="123"/>
      <c r="C200" s="123"/>
      <c r="D200" s="124"/>
      <c r="E200" s="124"/>
      <c r="F200" s="125"/>
      <c r="G200" s="125"/>
      <c r="H200" s="124"/>
      <c r="I200" s="108"/>
      <c r="J200" s="109"/>
      <c r="K200" s="109"/>
      <c r="L200" s="110"/>
    </row>
    <row r="201" spans="1:12" ht="15.75" thickTop="1" x14ac:dyDescent="0.25"/>
  </sheetData>
  <sheetProtection selectLockedCells="1"/>
  <pageMargins left="0.7" right="0.7" top="0.75" bottom="0.75" header="0.3" footer="0.3"/>
  <pageSetup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2]!RollDice">
                <anchor moveWithCells="1" sizeWithCells="1">
                  <from>
                    <xdr:col>15</xdr:col>
                    <xdr:colOff>152400</xdr:colOff>
                    <xdr:row>0</xdr:row>
                    <xdr:rowOff>57150</xdr:rowOff>
                  </from>
                  <to>
                    <xdr:col>17</xdr:col>
                    <xdr:colOff>142875</xdr:colOff>
                    <xdr:row>3</xdr:row>
                    <xdr:rowOff>190500</xdr:rowOff>
                  </to>
                </anchor>
              </controlPr>
            </control>
          </mc:Choice>
        </mc:AlternateContent>
        <mc:AlternateContent xmlns:mc="http://schemas.openxmlformats.org/markup-compatibility/2006">
          <mc:Choice Requires="x14">
            <control shapeId="8194" r:id="rId5" name="Button 2">
              <controlPr defaultSize="0" print="0" autoFill="0" autoPict="0" macro="[2]!ClearRollHistory">
                <anchor moveWithCells="1" sizeWithCells="1">
                  <from>
                    <xdr:col>17</xdr:col>
                    <xdr:colOff>228600</xdr:colOff>
                    <xdr:row>1</xdr:row>
                    <xdr:rowOff>66675</xdr:rowOff>
                  </from>
                  <to>
                    <xdr:col>18</xdr:col>
                    <xdr:colOff>590550</xdr:colOff>
                    <xdr:row>3</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filterMode="1"/>
  <dimension ref="A1:P629"/>
  <sheetViews>
    <sheetView topLeftCell="A186" workbookViewId="0">
      <selection activeCell="F300" sqref="F300"/>
    </sheetView>
  </sheetViews>
  <sheetFormatPr defaultRowHeight="15" x14ac:dyDescent="0.25"/>
  <cols>
    <col min="1" max="1" width="9.140625" style="31"/>
    <col min="2" max="2" width="16.140625" customWidth="1"/>
    <col min="3" max="3" width="20.85546875" customWidth="1"/>
    <col min="4" max="4" width="12.7109375" customWidth="1"/>
    <col min="6" max="6" width="23.5703125" customWidth="1"/>
    <col min="8" max="8" width="9.140625" style="14"/>
  </cols>
  <sheetData>
    <row r="1" spans="1:16" ht="18.75" x14ac:dyDescent="0.3">
      <c r="A1" s="26" t="s">
        <v>11</v>
      </c>
      <c r="B1" s="27" t="s">
        <v>2</v>
      </c>
      <c r="C1" s="27" t="s">
        <v>46</v>
      </c>
      <c r="D1" s="27" t="s">
        <v>47</v>
      </c>
      <c r="E1" s="27" t="s">
        <v>48</v>
      </c>
      <c r="F1" s="28" t="s">
        <v>49</v>
      </c>
      <c r="G1" s="29"/>
      <c r="H1" s="30"/>
      <c r="I1" s="29"/>
      <c r="J1" s="29"/>
      <c r="K1" s="29"/>
      <c r="L1" s="29"/>
      <c r="M1" s="29"/>
      <c r="N1" s="29"/>
      <c r="O1" s="29"/>
      <c r="P1" s="29"/>
    </row>
    <row r="2" spans="1:16" hidden="1" x14ac:dyDescent="0.25">
      <c r="A2" s="31">
        <v>0</v>
      </c>
      <c r="B2" s="32" t="s">
        <v>35</v>
      </c>
      <c r="C2" s="32" t="s">
        <v>50</v>
      </c>
      <c r="D2" s="32" t="s">
        <v>51</v>
      </c>
      <c r="E2" s="32" t="s">
        <v>52</v>
      </c>
      <c r="F2" s="29" t="s">
        <v>53</v>
      </c>
      <c r="G2" s="29"/>
      <c r="H2" s="30"/>
      <c r="I2" s="29"/>
      <c r="J2" s="29" t="s">
        <v>54</v>
      </c>
      <c r="K2" s="29"/>
      <c r="L2" s="29"/>
      <c r="M2" s="29"/>
      <c r="N2" s="29"/>
      <c r="O2" s="29"/>
      <c r="P2" s="29"/>
    </row>
    <row r="3" spans="1:16" hidden="1" x14ac:dyDescent="0.25">
      <c r="A3" s="31">
        <v>0</v>
      </c>
      <c r="B3" s="32" t="s">
        <v>41</v>
      </c>
      <c r="C3" s="32" t="s">
        <v>55</v>
      </c>
      <c r="D3" s="32" t="s">
        <v>56</v>
      </c>
      <c r="F3" s="33" t="str">
        <f>HYPERLINK("http://media.wizards.com/2014/downloads/dnd/DMDnDBasicRules_v0.1.pdf","D&amp;D Basic Rules, DM version, V1")</f>
        <v>D&amp;D Basic Rules, DM version, V1</v>
      </c>
      <c r="G3" s="29"/>
      <c r="H3" s="30"/>
      <c r="I3" s="29"/>
      <c r="J3" s="29" t="s">
        <v>57</v>
      </c>
      <c r="K3" s="29"/>
      <c r="L3" s="29"/>
      <c r="M3" s="29"/>
      <c r="N3" s="29"/>
      <c r="O3" s="29"/>
      <c r="P3" s="29"/>
    </row>
    <row r="4" spans="1:16" hidden="1" x14ac:dyDescent="0.25">
      <c r="A4" s="31">
        <v>0</v>
      </c>
      <c r="B4" s="32" t="s">
        <v>37</v>
      </c>
      <c r="C4" s="32" t="s">
        <v>58</v>
      </c>
      <c r="D4" s="32" t="s">
        <v>59</v>
      </c>
      <c r="F4" s="33" t="str">
        <f>HYPERLINK("http://media.wizards.com/2014/downloads/dnd/HoardDragonQueen_Supplement1.pdf","Hoard of the Dragon Queen Online Supplement")</f>
        <v>Hoard of the Dragon Queen Online Supplement</v>
      </c>
      <c r="G4" s="29"/>
      <c r="H4" s="30"/>
      <c r="I4" s="29"/>
      <c r="J4" s="29" t="s">
        <v>60</v>
      </c>
      <c r="K4" s="29"/>
      <c r="L4" s="29"/>
      <c r="M4" s="29"/>
      <c r="N4" s="29"/>
      <c r="O4" s="29"/>
      <c r="P4" s="29"/>
    </row>
    <row r="5" spans="1:16" hidden="1" x14ac:dyDescent="0.25">
      <c r="A5" s="31">
        <v>0</v>
      </c>
      <c r="B5" s="32" t="s">
        <v>30</v>
      </c>
      <c r="C5" s="32" t="s">
        <v>61</v>
      </c>
      <c r="D5" s="32" t="s">
        <v>62</v>
      </c>
      <c r="F5" s="33" t="str">
        <f>HYPERLINK("http://www.amazon.com/Monster-Manual-Core-Rulebook-Wizards/dp/0786965614/ref=sr_1_1?ie=UTF8&amp;qid=1411327966&amp;sr=8-1&amp;keywords=monster+manual","Monster Manual")</f>
        <v>Monster Manual</v>
      </c>
      <c r="G5" s="29"/>
      <c r="H5" s="30"/>
      <c r="I5" s="29"/>
      <c r="J5" s="29" t="s">
        <v>63</v>
      </c>
      <c r="K5" s="29"/>
      <c r="L5" s="29"/>
      <c r="M5" s="29"/>
      <c r="N5" s="29"/>
      <c r="O5" s="29"/>
      <c r="P5" s="29"/>
    </row>
    <row r="6" spans="1:16" hidden="1" x14ac:dyDescent="0.25">
      <c r="A6" s="31">
        <v>0</v>
      </c>
      <c r="B6" s="32" t="s">
        <v>30</v>
      </c>
      <c r="C6" s="32" t="s">
        <v>64</v>
      </c>
      <c r="D6" s="32" t="s">
        <v>65</v>
      </c>
      <c r="F6" s="29"/>
      <c r="G6" s="29"/>
      <c r="H6" s="30"/>
      <c r="I6" s="29"/>
      <c r="J6" s="29"/>
      <c r="K6" s="29"/>
      <c r="L6" s="29"/>
      <c r="M6" s="29"/>
      <c r="N6" s="29"/>
      <c r="O6" s="29"/>
      <c r="P6" s="29"/>
    </row>
    <row r="7" spans="1:16" hidden="1" x14ac:dyDescent="0.25">
      <c r="A7" s="31">
        <v>0</v>
      </c>
      <c r="B7" s="32" t="s">
        <v>30</v>
      </c>
      <c r="C7" s="32" t="s">
        <v>66</v>
      </c>
      <c r="D7" s="32" t="s">
        <v>67</v>
      </c>
      <c r="F7" s="29" t="s">
        <v>68</v>
      </c>
      <c r="G7" s="29"/>
      <c r="H7" s="30"/>
      <c r="I7" s="29"/>
      <c r="J7" s="29"/>
      <c r="K7" s="29"/>
      <c r="L7" s="29"/>
      <c r="M7" s="29"/>
      <c r="N7" s="29"/>
      <c r="O7" s="29"/>
      <c r="P7" s="29"/>
    </row>
    <row r="8" spans="1:16" hidden="1" x14ac:dyDescent="0.25">
      <c r="A8" s="31">
        <v>0</v>
      </c>
      <c r="B8" s="32" t="s">
        <v>30</v>
      </c>
      <c r="C8" s="32" t="s">
        <v>69</v>
      </c>
      <c r="D8" s="32" t="s">
        <v>67</v>
      </c>
      <c r="F8" s="29" t="s">
        <v>70</v>
      </c>
      <c r="G8" s="29"/>
      <c r="H8" s="30"/>
      <c r="I8" s="29"/>
      <c r="J8" s="29"/>
      <c r="K8" s="29"/>
      <c r="L8" s="29"/>
      <c r="M8" s="29"/>
      <c r="N8" s="29"/>
      <c r="O8" s="29"/>
      <c r="P8" s="29"/>
    </row>
    <row r="9" spans="1:16" hidden="1" x14ac:dyDescent="0.25">
      <c r="A9" s="31">
        <v>0</v>
      </c>
      <c r="B9" s="32" t="s">
        <v>30</v>
      </c>
      <c r="C9" s="32" t="s">
        <v>71</v>
      </c>
      <c r="D9" s="32" t="s">
        <v>67</v>
      </c>
      <c r="F9" s="29" t="s">
        <v>72</v>
      </c>
      <c r="G9" s="29"/>
      <c r="H9" s="30"/>
      <c r="I9" s="29"/>
      <c r="J9" s="29"/>
      <c r="K9" s="29"/>
      <c r="L9" s="29"/>
      <c r="M9" s="29"/>
      <c r="N9" s="29"/>
      <c r="O9" s="29"/>
      <c r="P9" s="29"/>
    </row>
    <row r="10" spans="1:16" hidden="1" x14ac:dyDescent="0.25">
      <c r="A10" s="31">
        <v>0</v>
      </c>
      <c r="B10" s="32" t="s">
        <v>30</v>
      </c>
      <c r="C10" s="32" t="s">
        <v>73</v>
      </c>
      <c r="D10" s="32" t="s">
        <v>74</v>
      </c>
      <c r="F10" s="29" t="s">
        <v>75</v>
      </c>
      <c r="G10" s="29"/>
      <c r="H10" s="30"/>
      <c r="I10" s="29"/>
      <c r="J10" s="29"/>
      <c r="K10" s="29"/>
      <c r="L10" s="29"/>
      <c r="M10" s="29"/>
      <c r="N10" s="29"/>
      <c r="O10" s="29"/>
      <c r="P10" s="29"/>
    </row>
    <row r="11" spans="1:16" hidden="1" x14ac:dyDescent="0.25">
      <c r="A11" s="31">
        <v>0</v>
      </c>
      <c r="B11" s="32" t="s">
        <v>30</v>
      </c>
      <c r="C11" s="32" t="s">
        <v>76</v>
      </c>
      <c r="D11" s="32" t="s">
        <v>74</v>
      </c>
      <c r="F11" s="29" t="s">
        <v>77</v>
      </c>
      <c r="G11" s="29"/>
      <c r="H11" s="30"/>
      <c r="I11" s="29"/>
      <c r="J11" s="29"/>
      <c r="K11" s="29"/>
      <c r="L11" s="29"/>
      <c r="M11" s="29"/>
      <c r="N11" s="29"/>
      <c r="O11" s="29"/>
      <c r="P11" s="29"/>
    </row>
    <row r="12" spans="1:16" hidden="1" x14ac:dyDescent="0.25">
      <c r="A12" s="31">
        <v>0</v>
      </c>
      <c r="B12" s="32" t="s">
        <v>30</v>
      </c>
      <c r="C12" s="32" t="s">
        <v>78</v>
      </c>
      <c r="D12" s="32" t="s">
        <v>74</v>
      </c>
      <c r="H12" s="30"/>
      <c r="I12" s="29"/>
      <c r="J12" s="29"/>
      <c r="K12" s="29"/>
      <c r="L12" s="29"/>
      <c r="M12" s="29"/>
      <c r="N12" s="29"/>
      <c r="O12" s="29"/>
      <c r="P12" s="29"/>
    </row>
    <row r="13" spans="1:16" hidden="1" x14ac:dyDescent="0.25">
      <c r="A13" s="31">
        <v>0</v>
      </c>
      <c r="B13" s="32" t="s">
        <v>30</v>
      </c>
      <c r="C13" s="32" t="s">
        <v>79</v>
      </c>
      <c r="D13" s="32" t="s">
        <v>80</v>
      </c>
      <c r="F13" s="34" t="s">
        <v>81</v>
      </c>
      <c r="G13" s="29"/>
      <c r="H13" s="30"/>
      <c r="I13" s="29"/>
      <c r="J13" s="29"/>
      <c r="K13" s="29"/>
      <c r="L13" s="29"/>
      <c r="M13" s="29"/>
      <c r="N13" s="29"/>
      <c r="O13" s="29"/>
      <c r="P13" s="29"/>
    </row>
    <row r="14" spans="1:16" hidden="1" x14ac:dyDescent="0.25">
      <c r="A14" s="31">
        <v>0</v>
      </c>
      <c r="B14" s="32" t="s">
        <v>30</v>
      </c>
      <c r="C14" s="32" t="s">
        <v>82</v>
      </c>
      <c r="D14" s="32" t="s">
        <v>80</v>
      </c>
      <c r="F14" s="35" t="s">
        <v>2</v>
      </c>
      <c r="G14" s="35" t="s">
        <v>83</v>
      </c>
      <c r="H14" s="30"/>
      <c r="I14" s="29"/>
      <c r="J14" s="29"/>
      <c r="K14" s="29"/>
      <c r="L14" s="29"/>
      <c r="M14" s="29"/>
      <c r="N14" s="29"/>
      <c r="O14" s="29"/>
      <c r="P14" s="29"/>
    </row>
    <row r="15" spans="1:16" hidden="1" x14ac:dyDescent="0.25">
      <c r="A15" s="31">
        <v>0</v>
      </c>
      <c r="B15" s="32" t="s">
        <v>30</v>
      </c>
      <c r="C15" s="32" t="s">
        <v>84</v>
      </c>
      <c r="D15" s="32" t="s">
        <v>85</v>
      </c>
      <c r="F15" s="35" t="s">
        <v>29</v>
      </c>
      <c r="G15" s="29">
        <f>COUNTIF($B$2:$B$9999,F15)</f>
        <v>21</v>
      </c>
      <c r="H15" s="30"/>
      <c r="I15" s="29"/>
      <c r="J15" s="29"/>
      <c r="K15" s="29"/>
      <c r="L15" s="29"/>
      <c r="M15" s="29"/>
      <c r="N15" s="29"/>
      <c r="O15" s="29"/>
      <c r="P15" s="29"/>
    </row>
    <row r="16" spans="1:16" hidden="1" x14ac:dyDescent="0.25">
      <c r="A16" s="31">
        <v>0</v>
      </c>
      <c r="B16" s="32" t="s">
        <v>30</v>
      </c>
      <c r="C16" s="32" t="s">
        <v>86</v>
      </c>
      <c r="D16" s="32" t="s">
        <v>87</v>
      </c>
      <c r="F16" s="35" t="s">
        <v>30</v>
      </c>
      <c r="G16" s="29">
        <f t="shared" ref="G16:G28" si="0">COUNTIF($B$2:$B$9999,F16)</f>
        <v>191</v>
      </c>
      <c r="H16" s="30"/>
      <c r="I16" s="29"/>
      <c r="J16" s="29"/>
      <c r="K16" s="29"/>
      <c r="L16" s="29"/>
      <c r="M16" s="29"/>
      <c r="N16" s="29"/>
      <c r="O16" s="29"/>
      <c r="P16" s="29"/>
    </row>
    <row r="17" spans="1:16" hidden="1" x14ac:dyDescent="0.25">
      <c r="A17" s="31">
        <v>0</v>
      </c>
      <c r="B17" s="32" t="s">
        <v>30</v>
      </c>
      <c r="C17" s="32" t="s">
        <v>88</v>
      </c>
      <c r="D17" s="32" t="s">
        <v>87</v>
      </c>
      <c r="F17" s="35" t="s">
        <v>31</v>
      </c>
      <c r="G17" s="29">
        <f t="shared" si="0"/>
        <v>8</v>
      </c>
      <c r="H17" s="30"/>
      <c r="I17" s="29"/>
      <c r="J17" s="29"/>
      <c r="K17" s="29"/>
      <c r="L17" s="29"/>
      <c r="M17" s="29"/>
      <c r="N17" s="29"/>
      <c r="O17" s="29"/>
      <c r="P17" s="29"/>
    </row>
    <row r="18" spans="1:16" hidden="1" x14ac:dyDescent="0.25">
      <c r="A18" s="31">
        <v>0</v>
      </c>
      <c r="B18" s="32" t="s">
        <v>30</v>
      </c>
      <c r="C18" s="32" t="s">
        <v>89</v>
      </c>
      <c r="D18" s="32" t="s">
        <v>90</v>
      </c>
      <c r="F18" s="35" t="s">
        <v>91</v>
      </c>
      <c r="G18" s="29">
        <f t="shared" si="0"/>
        <v>22</v>
      </c>
      <c r="H18" s="30"/>
      <c r="I18" s="29"/>
      <c r="J18" s="29"/>
      <c r="K18" s="29"/>
      <c r="L18" s="29"/>
      <c r="M18" s="29"/>
      <c r="N18" s="29"/>
      <c r="O18" s="29"/>
      <c r="P18" s="29"/>
    </row>
    <row r="19" spans="1:16" hidden="1" x14ac:dyDescent="0.25">
      <c r="A19" s="31">
        <v>0</v>
      </c>
      <c r="B19" s="32" t="s">
        <v>30</v>
      </c>
      <c r="C19" s="32" t="s">
        <v>92</v>
      </c>
      <c r="D19" s="32" t="s">
        <v>90</v>
      </c>
      <c r="F19" s="35" t="s">
        <v>32</v>
      </c>
      <c r="G19" s="29">
        <f t="shared" si="0"/>
        <v>52</v>
      </c>
      <c r="H19" s="30"/>
      <c r="I19" s="29"/>
      <c r="J19" s="29"/>
      <c r="K19" s="29"/>
      <c r="L19" s="29"/>
      <c r="M19" s="29"/>
      <c r="N19" s="29"/>
      <c r="O19" s="29"/>
      <c r="P19" s="29"/>
    </row>
    <row r="20" spans="1:16" hidden="1" x14ac:dyDescent="0.25">
      <c r="A20" s="31">
        <v>0</v>
      </c>
      <c r="B20" s="32" t="s">
        <v>30</v>
      </c>
      <c r="C20" s="32" t="s">
        <v>93</v>
      </c>
      <c r="D20" s="32" t="s">
        <v>94</v>
      </c>
      <c r="F20" s="35" t="s">
        <v>33</v>
      </c>
      <c r="G20" s="29">
        <f t="shared" si="0"/>
        <v>28</v>
      </c>
      <c r="H20" s="30"/>
      <c r="I20" s="29"/>
      <c r="J20" s="29"/>
      <c r="K20" s="29"/>
      <c r="L20" s="29"/>
      <c r="M20" s="29"/>
      <c r="N20" s="29"/>
      <c r="O20" s="29"/>
      <c r="P20" s="29"/>
    </row>
    <row r="21" spans="1:16" hidden="1" x14ac:dyDescent="0.25">
      <c r="A21" s="31">
        <v>0</v>
      </c>
      <c r="B21" s="32" t="s">
        <v>30</v>
      </c>
      <c r="C21" s="32" t="s">
        <v>95</v>
      </c>
      <c r="D21" s="32" t="s">
        <v>96</v>
      </c>
      <c r="F21" s="35" t="s">
        <v>34</v>
      </c>
      <c r="G21" s="29">
        <f t="shared" si="0"/>
        <v>10</v>
      </c>
      <c r="H21" s="30"/>
      <c r="I21" s="29"/>
      <c r="J21" s="29"/>
      <c r="K21" s="29"/>
      <c r="L21" s="29"/>
      <c r="M21" s="29"/>
      <c r="N21" s="29"/>
      <c r="O21" s="29"/>
      <c r="P21" s="29"/>
    </row>
    <row r="22" spans="1:16" hidden="1" x14ac:dyDescent="0.25">
      <c r="A22" s="31">
        <v>0</v>
      </c>
      <c r="B22" s="32" t="s">
        <v>30</v>
      </c>
      <c r="C22" s="32" t="s">
        <v>97</v>
      </c>
      <c r="D22" t="s">
        <v>96</v>
      </c>
      <c r="F22" s="35" t="s">
        <v>35</v>
      </c>
      <c r="G22" s="29">
        <f t="shared" si="0"/>
        <v>35</v>
      </c>
      <c r="H22" s="30"/>
      <c r="I22" s="29"/>
      <c r="J22" s="29"/>
      <c r="K22" s="29"/>
      <c r="L22" s="29"/>
      <c r="M22" s="29"/>
      <c r="N22" s="29"/>
      <c r="O22" s="29"/>
      <c r="P22" s="29"/>
    </row>
    <row r="23" spans="1:16" hidden="1" x14ac:dyDescent="0.25">
      <c r="A23" s="31">
        <v>0</v>
      </c>
      <c r="B23" s="32" t="s">
        <v>30</v>
      </c>
      <c r="C23" s="32" t="s">
        <v>98</v>
      </c>
      <c r="D23" s="32" t="s">
        <v>99</v>
      </c>
      <c r="F23" s="35" t="s">
        <v>36</v>
      </c>
      <c r="G23" s="29">
        <f t="shared" si="0"/>
        <v>20</v>
      </c>
      <c r="H23" s="30"/>
      <c r="I23" s="29"/>
      <c r="J23" s="29"/>
      <c r="K23" s="29"/>
      <c r="L23" s="29"/>
      <c r="M23" s="29"/>
      <c r="N23" s="29"/>
      <c r="O23" s="29"/>
      <c r="P23" s="29"/>
    </row>
    <row r="24" spans="1:16" hidden="1" x14ac:dyDescent="0.25">
      <c r="A24" s="31">
        <v>0</v>
      </c>
      <c r="B24" s="32" t="s">
        <v>30</v>
      </c>
      <c r="C24" s="32" t="s">
        <v>100</v>
      </c>
      <c r="D24" s="32" t="s">
        <v>101</v>
      </c>
      <c r="F24" s="35" t="s">
        <v>37</v>
      </c>
      <c r="G24" s="29">
        <f t="shared" si="0"/>
        <v>99</v>
      </c>
      <c r="H24" s="30"/>
      <c r="I24" s="29"/>
      <c r="J24" s="29"/>
      <c r="K24" s="29"/>
      <c r="L24" s="29"/>
      <c r="M24" s="29"/>
      <c r="N24" s="29"/>
      <c r="O24" s="29"/>
      <c r="P24" s="29"/>
    </row>
    <row r="25" spans="1:16" hidden="1" x14ac:dyDescent="0.25">
      <c r="A25" s="31">
        <v>0</v>
      </c>
      <c r="B25" s="32" t="s">
        <v>30</v>
      </c>
      <c r="C25" s="32" t="s">
        <v>102</v>
      </c>
      <c r="D25" s="32" t="s">
        <v>101</v>
      </c>
      <c r="F25" s="35" t="s">
        <v>38</v>
      </c>
      <c r="G25" s="29">
        <f t="shared" si="0"/>
        <v>75</v>
      </c>
      <c r="H25" s="30"/>
      <c r="I25" s="29"/>
      <c r="J25" s="29"/>
      <c r="K25" s="29"/>
      <c r="L25" s="29"/>
      <c r="M25" s="29"/>
      <c r="N25" s="29"/>
      <c r="O25" s="29"/>
      <c r="P25" s="29"/>
    </row>
    <row r="26" spans="1:16" hidden="1" x14ac:dyDescent="0.25">
      <c r="A26" s="31">
        <v>0</v>
      </c>
      <c r="B26" s="32" t="s">
        <v>30</v>
      </c>
      <c r="C26" s="32" t="s">
        <v>103</v>
      </c>
      <c r="D26" s="32" t="s">
        <v>104</v>
      </c>
      <c r="F26" s="35" t="s">
        <v>39</v>
      </c>
      <c r="G26" s="29">
        <f t="shared" si="0"/>
        <v>6</v>
      </c>
      <c r="H26" s="30"/>
      <c r="I26" s="29"/>
      <c r="J26" s="29"/>
      <c r="K26" s="29"/>
      <c r="L26" s="29"/>
      <c r="M26" s="29"/>
      <c r="N26" s="29"/>
      <c r="O26" s="29"/>
      <c r="P26" s="29"/>
    </row>
    <row r="27" spans="1:16" hidden="1" x14ac:dyDescent="0.25">
      <c r="A27" s="31">
        <v>0</v>
      </c>
      <c r="B27" s="32" t="s">
        <v>30</v>
      </c>
      <c r="C27" s="32" t="s">
        <v>105</v>
      </c>
      <c r="D27" s="32" t="s">
        <v>104</v>
      </c>
      <c r="F27" s="35" t="s">
        <v>40</v>
      </c>
      <c r="G27" s="29">
        <f t="shared" si="0"/>
        <v>20</v>
      </c>
      <c r="H27" s="30"/>
      <c r="I27" s="29"/>
      <c r="J27" s="29"/>
      <c r="K27" s="29"/>
      <c r="L27" s="29"/>
      <c r="M27" s="29"/>
      <c r="N27" s="29"/>
      <c r="O27" s="29"/>
      <c r="P27" s="29"/>
    </row>
    <row r="28" spans="1:16" hidden="1" x14ac:dyDescent="0.25">
      <c r="A28" s="31">
        <v>0</v>
      </c>
      <c r="B28" s="32" t="s">
        <v>30</v>
      </c>
      <c r="C28" s="32" t="s">
        <v>106</v>
      </c>
      <c r="D28" s="32" t="s">
        <v>104</v>
      </c>
      <c r="F28" s="35" t="s">
        <v>41</v>
      </c>
      <c r="G28" s="29">
        <f t="shared" si="0"/>
        <v>40</v>
      </c>
      <c r="H28" s="30"/>
      <c r="I28" s="29" t="s">
        <v>107</v>
      </c>
      <c r="J28" s="29"/>
      <c r="K28" s="29"/>
      <c r="L28" s="29"/>
      <c r="M28" s="29"/>
      <c r="N28" s="29"/>
      <c r="O28" s="29"/>
      <c r="P28" s="29"/>
    </row>
    <row r="29" spans="1:16" hidden="1" x14ac:dyDescent="0.25">
      <c r="A29" s="31">
        <v>0</v>
      </c>
      <c r="B29" s="32" t="s">
        <v>40</v>
      </c>
      <c r="C29" s="32" t="s">
        <v>108</v>
      </c>
      <c r="D29" s="32" t="s">
        <v>109</v>
      </c>
      <c r="F29" s="35" t="s">
        <v>110</v>
      </c>
      <c r="G29" s="29">
        <f>SUM(G15:G28)</f>
        <v>627</v>
      </c>
      <c r="H29" s="30"/>
      <c r="I29" s="29"/>
      <c r="J29" s="29"/>
      <c r="K29" s="29"/>
      <c r="L29" s="29"/>
      <c r="M29" s="29"/>
      <c r="N29" s="29"/>
      <c r="O29" s="29"/>
      <c r="P29" s="29"/>
    </row>
    <row r="30" spans="1:16" hidden="1" x14ac:dyDescent="0.25">
      <c r="A30" s="31">
        <v>0</v>
      </c>
      <c r="B30" s="32" t="s">
        <v>40</v>
      </c>
      <c r="C30" s="32" t="s">
        <v>111</v>
      </c>
      <c r="D30" s="32" t="s">
        <v>112</v>
      </c>
    </row>
    <row r="31" spans="1:16" hidden="1" x14ac:dyDescent="0.25">
      <c r="A31" s="31">
        <v>0</v>
      </c>
      <c r="B31" s="32" t="s">
        <v>91</v>
      </c>
      <c r="C31" s="32" t="s">
        <v>113</v>
      </c>
      <c r="D31" s="32" t="s">
        <v>114</v>
      </c>
    </row>
    <row r="32" spans="1:16" hidden="1" x14ac:dyDescent="0.25">
      <c r="A32" s="31">
        <v>0</v>
      </c>
      <c r="B32" s="32" t="s">
        <v>40</v>
      </c>
      <c r="C32" s="32" t="s">
        <v>115</v>
      </c>
      <c r="D32" s="32" t="s">
        <v>116</v>
      </c>
    </row>
    <row r="33" spans="1:4" customFormat="1" hidden="1" x14ac:dyDescent="0.25">
      <c r="A33" s="31">
        <v>0</v>
      </c>
      <c r="B33" s="32" t="s">
        <v>37</v>
      </c>
      <c r="C33" s="32" t="s">
        <v>58</v>
      </c>
      <c r="D33" s="32" t="s">
        <v>117</v>
      </c>
    </row>
    <row r="34" spans="1:4" customFormat="1" hidden="1" x14ac:dyDescent="0.25">
      <c r="A34" s="31">
        <v>0</v>
      </c>
      <c r="B34" s="32" t="s">
        <v>30</v>
      </c>
      <c r="C34" s="32" t="s">
        <v>61</v>
      </c>
      <c r="D34" s="32" t="s">
        <v>118</v>
      </c>
    </row>
    <row r="35" spans="1:4" customFormat="1" hidden="1" x14ac:dyDescent="0.25">
      <c r="A35" s="31">
        <v>0</v>
      </c>
      <c r="B35" s="32" t="s">
        <v>30</v>
      </c>
      <c r="C35" s="32" t="s">
        <v>64</v>
      </c>
      <c r="D35" s="32" t="s">
        <v>119</v>
      </c>
    </row>
    <row r="36" spans="1:4" customFormat="1" hidden="1" x14ac:dyDescent="0.25">
      <c r="A36" s="31">
        <v>0</v>
      </c>
      <c r="B36" s="32" t="s">
        <v>30</v>
      </c>
      <c r="C36" s="32" t="s">
        <v>71</v>
      </c>
      <c r="D36" s="32" t="s">
        <v>120</v>
      </c>
    </row>
    <row r="37" spans="1:4" customFormat="1" hidden="1" x14ac:dyDescent="0.25">
      <c r="A37" s="31">
        <v>0</v>
      </c>
      <c r="B37" s="32" t="s">
        <v>30</v>
      </c>
      <c r="C37" s="32" t="s">
        <v>66</v>
      </c>
      <c r="D37" s="32" t="s">
        <v>121</v>
      </c>
    </row>
    <row r="38" spans="1:4" customFormat="1" hidden="1" x14ac:dyDescent="0.25">
      <c r="A38" s="31">
        <v>0</v>
      </c>
      <c r="B38" s="32" t="s">
        <v>30</v>
      </c>
      <c r="C38" s="32" t="s">
        <v>122</v>
      </c>
      <c r="D38" s="32" t="s">
        <v>121</v>
      </c>
    </row>
    <row r="39" spans="1:4" customFormat="1" hidden="1" x14ac:dyDescent="0.25">
      <c r="A39" s="31">
        <v>0</v>
      </c>
      <c r="B39" s="32" t="s">
        <v>30</v>
      </c>
      <c r="C39" s="32" t="s">
        <v>78</v>
      </c>
      <c r="D39" s="32" t="s">
        <v>123</v>
      </c>
    </row>
    <row r="40" spans="1:4" customFormat="1" hidden="1" x14ac:dyDescent="0.25">
      <c r="A40" s="31">
        <v>0</v>
      </c>
      <c r="B40" s="32" t="s">
        <v>30</v>
      </c>
      <c r="C40" s="32" t="s">
        <v>73</v>
      </c>
      <c r="D40" s="32" t="s">
        <v>124</v>
      </c>
    </row>
    <row r="41" spans="1:4" customFormat="1" hidden="1" x14ac:dyDescent="0.25">
      <c r="A41" s="31">
        <v>0</v>
      </c>
      <c r="B41" s="32" t="s">
        <v>30</v>
      </c>
      <c r="C41" s="32" t="s">
        <v>76</v>
      </c>
      <c r="D41" s="32" t="s">
        <v>124</v>
      </c>
    </row>
    <row r="42" spans="1:4" customFormat="1" hidden="1" x14ac:dyDescent="0.25">
      <c r="A42" s="31">
        <v>0</v>
      </c>
      <c r="B42" s="32" t="s">
        <v>30</v>
      </c>
      <c r="C42" s="32" t="s">
        <v>125</v>
      </c>
      <c r="D42" s="32" t="s">
        <v>126</v>
      </c>
    </row>
    <row r="43" spans="1:4" customFormat="1" hidden="1" x14ac:dyDescent="0.25">
      <c r="A43" s="31">
        <v>0</v>
      </c>
      <c r="B43" s="32" t="s">
        <v>30</v>
      </c>
      <c r="C43" s="32" t="s">
        <v>79</v>
      </c>
      <c r="D43" s="32" t="s">
        <v>127</v>
      </c>
    </row>
    <row r="44" spans="1:4" customFormat="1" hidden="1" x14ac:dyDescent="0.25">
      <c r="A44" s="31">
        <v>0</v>
      </c>
      <c r="B44" s="32" t="s">
        <v>30</v>
      </c>
      <c r="C44" s="32" t="s">
        <v>84</v>
      </c>
      <c r="D44" s="32" t="s">
        <v>128</v>
      </c>
    </row>
    <row r="45" spans="1:4" customFormat="1" hidden="1" x14ac:dyDescent="0.25">
      <c r="A45" s="31">
        <v>0</v>
      </c>
      <c r="B45" s="32" t="s">
        <v>30</v>
      </c>
      <c r="C45" s="32" t="s">
        <v>86</v>
      </c>
      <c r="D45" s="32" t="s">
        <v>129</v>
      </c>
    </row>
    <row r="46" spans="1:4" customFormat="1" hidden="1" x14ac:dyDescent="0.25">
      <c r="A46" s="31">
        <v>0</v>
      </c>
      <c r="B46" s="32" t="s">
        <v>30</v>
      </c>
      <c r="C46" s="32" t="s">
        <v>88</v>
      </c>
      <c r="D46" s="32" t="s">
        <v>129</v>
      </c>
    </row>
    <row r="47" spans="1:4" customFormat="1" hidden="1" x14ac:dyDescent="0.25">
      <c r="A47" s="31">
        <v>0</v>
      </c>
      <c r="B47" s="32" t="s">
        <v>30</v>
      </c>
      <c r="C47" s="32" t="s">
        <v>92</v>
      </c>
      <c r="D47" s="32" t="s">
        <v>130</v>
      </c>
    </row>
    <row r="48" spans="1:4" customFormat="1" hidden="1" x14ac:dyDescent="0.25">
      <c r="A48" s="31">
        <v>0</v>
      </c>
      <c r="B48" s="32" t="s">
        <v>30</v>
      </c>
      <c r="C48" s="32" t="s">
        <v>89</v>
      </c>
      <c r="D48" s="32" t="s">
        <v>131</v>
      </c>
    </row>
    <row r="49" spans="1:5" customFormat="1" hidden="1" x14ac:dyDescent="0.25">
      <c r="A49" s="31">
        <v>0</v>
      </c>
      <c r="B49" s="32" t="s">
        <v>30</v>
      </c>
      <c r="C49" s="32" t="s">
        <v>93</v>
      </c>
      <c r="D49" s="32" t="s">
        <v>132</v>
      </c>
    </row>
    <row r="50" spans="1:5" customFormat="1" hidden="1" x14ac:dyDescent="0.25">
      <c r="A50" s="31">
        <v>0</v>
      </c>
      <c r="B50" s="32" t="s">
        <v>30</v>
      </c>
      <c r="C50" s="32" t="s">
        <v>97</v>
      </c>
      <c r="D50" s="32" t="s">
        <v>133</v>
      </c>
    </row>
    <row r="51" spans="1:5" customFormat="1" hidden="1" x14ac:dyDescent="0.25">
      <c r="A51" s="31">
        <v>0</v>
      </c>
      <c r="B51" s="32" t="s">
        <v>30</v>
      </c>
      <c r="C51" s="32" t="s">
        <v>95</v>
      </c>
      <c r="D51" s="32" t="s">
        <v>134</v>
      </c>
    </row>
    <row r="52" spans="1:5" customFormat="1" hidden="1" x14ac:dyDescent="0.25">
      <c r="A52" s="31">
        <v>0</v>
      </c>
      <c r="B52" s="32" t="s">
        <v>30</v>
      </c>
      <c r="C52" s="32" t="s">
        <v>98</v>
      </c>
      <c r="D52" s="32" t="s">
        <v>135</v>
      </c>
    </row>
    <row r="53" spans="1:5" customFormat="1" hidden="1" x14ac:dyDescent="0.25">
      <c r="A53" s="31">
        <v>0</v>
      </c>
      <c r="B53" s="32" t="s">
        <v>30</v>
      </c>
      <c r="C53" s="32" t="s">
        <v>102</v>
      </c>
      <c r="D53" s="32" t="s">
        <v>136</v>
      </c>
      <c r="E53" s="32"/>
    </row>
    <row r="54" spans="1:5" customFormat="1" hidden="1" x14ac:dyDescent="0.25">
      <c r="A54" s="31">
        <v>0</v>
      </c>
      <c r="B54" s="32" t="s">
        <v>30</v>
      </c>
      <c r="C54" s="32" t="s">
        <v>100</v>
      </c>
      <c r="D54" s="32" t="s">
        <v>137</v>
      </c>
    </row>
    <row r="55" spans="1:5" customFormat="1" hidden="1" x14ac:dyDescent="0.25">
      <c r="A55" s="31">
        <v>0</v>
      </c>
      <c r="B55" s="32" t="s">
        <v>30</v>
      </c>
      <c r="C55" s="32" t="s">
        <v>106</v>
      </c>
      <c r="D55" s="32" t="s">
        <v>138</v>
      </c>
    </row>
    <row r="56" spans="1:5" customFormat="1" hidden="1" x14ac:dyDescent="0.25">
      <c r="A56" s="31">
        <v>0</v>
      </c>
      <c r="B56" s="32" t="s">
        <v>30</v>
      </c>
      <c r="C56" s="32" t="s">
        <v>103</v>
      </c>
      <c r="D56" s="32" t="s">
        <v>139</v>
      </c>
    </row>
    <row r="57" spans="1:5" customFormat="1" hidden="1" x14ac:dyDescent="0.25">
      <c r="A57" s="31">
        <v>0</v>
      </c>
      <c r="B57" s="32" t="s">
        <v>30</v>
      </c>
      <c r="C57" s="32" t="s">
        <v>105</v>
      </c>
      <c r="D57" s="32" t="s">
        <v>139</v>
      </c>
    </row>
    <row r="58" spans="1:5" customFormat="1" hidden="1" x14ac:dyDescent="0.25">
      <c r="A58" s="31">
        <v>0</v>
      </c>
      <c r="B58" s="32" t="s">
        <v>40</v>
      </c>
      <c r="C58" s="32" t="s">
        <v>108</v>
      </c>
      <c r="D58" s="32" t="s">
        <v>140</v>
      </c>
    </row>
    <row r="59" spans="1:5" customFormat="1" hidden="1" x14ac:dyDescent="0.25">
      <c r="A59" s="31">
        <v>0.125</v>
      </c>
      <c r="B59" s="32" t="s">
        <v>35</v>
      </c>
      <c r="C59" s="32" t="s">
        <v>141</v>
      </c>
      <c r="D59" s="32" t="s">
        <v>142</v>
      </c>
      <c r="E59" s="32" t="s">
        <v>143</v>
      </c>
    </row>
    <row r="60" spans="1:5" customFormat="1" hidden="1" x14ac:dyDescent="0.25">
      <c r="A60" s="31">
        <v>0.125</v>
      </c>
      <c r="B60" s="32" t="s">
        <v>37</v>
      </c>
      <c r="C60" s="32" t="s">
        <v>144</v>
      </c>
      <c r="D60" s="32" t="s">
        <v>145</v>
      </c>
    </row>
    <row r="61" spans="1:5" customFormat="1" hidden="1" x14ac:dyDescent="0.25">
      <c r="A61" s="31">
        <v>0.125</v>
      </c>
      <c r="B61" s="32" t="s">
        <v>37</v>
      </c>
      <c r="C61" s="32" t="s">
        <v>146</v>
      </c>
      <c r="D61" s="32" t="s">
        <v>147</v>
      </c>
    </row>
    <row r="62" spans="1:5" customFormat="1" hidden="1" x14ac:dyDescent="0.25">
      <c r="A62" s="31">
        <v>0.125</v>
      </c>
      <c r="B62" s="32" t="s">
        <v>37</v>
      </c>
      <c r="C62" s="32" t="s">
        <v>9</v>
      </c>
      <c r="D62" s="32" t="s">
        <v>148</v>
      </c>
    </row>
    <row r="63" spans="1:5" customFormat="1" hidden="1" x14ac:dyDescent="0.25">
      <c r="A63" s="31">
        <v>0.125</v>
      </c>
      <c r="B63" s="32" t="s">
        <v>37</v>
      </c>
      <c r="C63" s="32" t="s">
        <v>8</v>
      </c>
      <c r="D63" s="32" t="s">
        <v>59</v>
      </c>
    </row>
    <row r="64" spans="1:5" customFormat="1" hidden="1" x14ac:dyDescent="0.25">
      <c r="A64" s="31">
        <v>0.125</v>
      </c>
      <c r="B64" s="32" t="s">
        <v>37</v>
      </c>
      <c r="C64" s="32" t="s">
        <v>45</v>
      </c>
      <c r="D64" s="32" t="s">
        <v>149</v>
      </c>
    </row>
    <row r="65" spans="1:5" customFormat="1" hidden="1" x14ac:dyDescent="0.25">
      <c r="A65" s="31">
        <v>0.125</v>
      </c>
      <c r="B65" s="32" t="s">
        <v>30</v>
      </c>
      <c r="C65" s="32" t="s">
        <v>150</v>
      </c>
      <c r="D65" s="32" t="s">
        <v>74</v>
      </c>
    </row>
    <row r="66" spans="1:5" customFormat="1" hidden="1" x14ac:dyDescent="0.25">
      <c r="A66" s="31">
        <v>0.125</v>
      </c>
      <c r="B66" s="32" t="s">
        <v>30</v>
      </c>
      <c r="C66" s="32" t="s">
        <v>151</v>
      </c>
      <c r="D66" s="32" t="s">
        <v>152</v>
      </c>
    </row>
    <row r="67" spans="1:5" customFormat="1" hidden="1" x14ac:dyDescent="0.25">
      <c r="A67" s="31">
        <v>0.125</v>
      </c>
      <c r="B67" s="32" t="s">
        <v>30</v>
      </c>
      <c r="C67" s="32" t="s">
        <v>153</v>
      </c>
      <c r="D67" s="32" t="s">
        <v>80</v>
      </c>
    </row>
    <row r="68" spans="1:5" customFormat="1" hidden="1" x14ac:dyDescent="0.25">
      <c r="A68" s="31">
        <v>0.125</v>
      </c>
      <c r="B68" s="32" t="s">
        <v>30</v>
      </c>
      <c r="C68" s="32" t="s">
        <v>154</v>
      </c>
      <c r="D68" s="32" t="s">
        <v>85</v>
      </c>
    </row>
    <row r="69" spans="1:5" customFormat="1" hidden="1" x14ac:dyDescent="0.25">
      <c r="A69" s="31">
        <v>0.125</v>
      </c>
      <c r="B69" s="32" t="s">
        <v>30</v>
      </c>
      <c r="C69" s="32" t="s">
        <v>155</v>
      </c>
      <c r="D69" s="32" t="s">
        <v>156</v>
      </c>
    </row>
    <row r="70" spans="1:5" customFormat="1" hidden="1" x14ac:dyDescent="0.25">
      <c r="A70" s="31">
        <v>0.125</v>
      </c>
      <c r="B70" s="32" t="s">
        <v>30</v>
      </c>
      <c r="C70" s="32" t="s">
        <v>157</v>
      </c>
      <c r="D70" s="32" t="s">
        <v>158</v>
      </c>
    </row>
    <row r="71" spans="1:5" customFormat="1" hidden="1" x14ac:dyDescent="0.25">
      <c r="A71" s="31">
        <v>0.125</v>
      </c>
      <c r="B71" s="32" t="s">
        <v>30</v>
      </c>
      <c r="C71" s="32" t="s">
        <v>159</v>
      </c>
      <c r="D71" s="32" t="s">
        <v>160</v>
      </c>
    </row>
    <row r="72" spans="1:5" customFormat="1" hidden="1" x14ac:dyDescent="0.25">
      <c r="A72" s="31">
        <v>0.125</v>
      </c>
      <c r="B72" s="32" t="s">
        <v>30</v>
      </c>
      <c r="C72" s="32" t="s">
        <v>161</v>
      </c>
      <c r="D72" s="32" t="s">
        <v>162</v>
      </c>
    </row>
    <row r="73" spans="1:5" customFormat="1" hidden="1" x14ac:dyDescent="0.25">
      <c r="A73" s="31">
        <v>0.125</v>
      </c>
      <c r="B73" s="32" t="s">
        <v>30</v>
      </c>
      <c r="C73" s="32" t="s">
        <v>163</v>
      </c>
      <c r="D73" s="32" t="s">
        <v>101</v>
      </c>
    </row>
    <row r="74" spans="1:5" customFormat="1" hidden="1" x14ac:dyDescent="0.25">
      <c r="A74" s="31">
        <v>0.125</v>
      </c>
      <c r="B74" s="32" t="s">
        <v>40</v>
      </c>
      <c r="C74" s="32" t="s">
        <v>164</v>
      </c>
      <c r="D74" s="32" t="s">
        <v>165</v>
      </c>
    </row>
    <row r="75" spans="1:5" customFormat="1" hidden="1" x14ac:dyDescent="0.25">
      <c r="A75" s="31">
        <v>0.125</v>
      </c>
      <c r="B75" s="32" t="s">
        <v>30</v>
      </c>
      <c r="C75" s="32" t="s">
        <v>166</v>
      </c>
      <c r="D75" s="32" t="s">
        <v>167</v>
      </c>
    </row>
    <row r="76" spans="1:5" customFormat="1" hidden="1" x14ac:dyDescent="0.25">
      <c r="A76" s="31">
        <v>0.125</v>
      </c>
      <c r="B76" s="32" t="s">
        <v>30</v>
      </c>
      <c r="C76" s="32" t="s">
        <v>168</v>
      </c>
      <c r="D76" s="32" t="s">
        <v>169</v>
      </c>
    </row>
    <row r="77" spans="1:5" customFormat="1" hidden="1" x14ac:dyDescent="0.25">
      <c r="A77" s="31">
        <v>0.125</v>
      </c>
      <c r="B77" s="32" t="s">
        <v>29</v>
      </c>
      <c r="C77" s="32" t="s">
        <v>170</v>
      </c>
      <c r="D77" s="32" t="s">
        <v>171</v>
      </c>
    </row>
    <row r="78" spans="1:5" customFormat="1" hidden="1" x14ac:dyDescent="0.25">
      <c r="A78" s="31">
        <v>0.125</v>
      </c>
      <c r="B78" s="32" t="s">
        <v>91</v>
      </c>
      <c r="C78" s="32" t="s">
        <v>172</v>
      </c>
      <c r="D78" s="32" t="s">
        <v>173</v>
      </c>
      <c r="E78" s="32" t="s">
        <v>174</v>
      </c>
    </row>
    <row r="79" spans="1:5" customFormat="1" hidden="1" x14ac:dyDescent="0.25">
      <c r="A79" s="31">
        <v>0.125</v>
      </c>
      <c r="B79" s="32" t="s">
        <v>37</v>
      </c>
      <c r="C79" s="32" t="s">
        <v>175</v>
      </c>
      <c r="D79" s="32" t="s">
        <v>176</v>
      </c>
    </row>
    <row r="80" spans="1:5" customFormat="1" hidden="1" x14ac:dyDescent="0.25">
      <c r="A80" s="31">
        <v>0.125</v>
      </c>
      <c r="B80" s="32" t="s">
        <v>37</v>
      </c>
      <c r="C80" s="32" t="s">
        <v>4</v>
      </c>
      <c r="D80" s="32" t="s">
        <v>177</v>
      </c>
    </row>
    <row r="81" spans="1:4" customFormat="1" hidden="1" x14ac:dyDescent="0.25">
      <c r="A81" s="31">
        <v>0.125</v>
      </c>
      <c r="B81" s="32" t="s">
        <v>29</v>
      </c>
      <c r="C81" s="32" t="s">
        <v>178</v>
      </c>
      <c r="D81" s="32" t="s">
        <v>179</v>
      </c>
    </row>
    <row r="82" spans="1:4" customFormat="1" hidden="1" x14ac:dyDescent="0.25">
      <c r="A82" s="31">
        <v>0.125</v>
      </c>
      <c r="B82" s="32" t="s">
        <v>37</v>
      </c>
      <c r="C82" s="32" t="s">
        <v>146</v>
      </c>
      <c r="D82" s="32" t="s">
        <v>180</v>
      </c>
    </row>
    <row r="83" spans="1:4" customFormat="1" hidden="1" x14ac:dyDescent="0.25">
      <c r="A83" s="31">
        <v>0.125</v>
      </c>
      <c r="B83" s="32" t="s">
        <v>37</v>
      </c>
      <c r="C83" s="32" t="s">
        <v>8</v>
      </c>
      <c r="D83" s="32" t="s">
        <v>117</v>
      </c>
    </row>
    <row r="84" spans="1:4" customFormat="1" hidden="1" x14ac:dyDescent="0.25">
      <c r="A84" s="31">
        <v>0.125</v>
      </c>
      <c r="B84" s="32" t="s">
        <v>37</v>
      </c>
      <c r="C84" s="32" t="s">
        <v>9</v>
      </c>
      <c r="D84" s="32" t="s">
        <v>117</v>
      </c>
    </row>
    <row r="85" spans="1:4" customFormat="1" hidden="1" x14ac:dyDescent="0.25">
      <c r="A85" s="31">
        <v>0.125</v>
      </c>
      <c r="B85" s="32" t="s">
        <v>37</v>
      </c>
      <c r="C85" s="32" t="s">
        <v>45</v>
      </c>
      <c r="D85" s="32" t="s">
        <v>181</v>
      </c>
    </row>
    <row r="86" spans="1:4" customFormat="1" hidden="1" x14ac:dyDescent="0.25">
      <c r="A86" s="31">
        <v>0.125</v>
      </c>
      <c r="B86" s="32" t="s">
        <v>40</v>
      </c>
      <c r="C86" s="32" t="s">
        <v>164</v>
      </c>
      <c r="D86" s="32" t="s">
        <v>182</v>
      </c>
    </row>
    <row r="87" spans="1:4" customFormat="1" hidden="1" x14ac:dyDescent="0.25">
      <c r="A87" s="31">
        <v>0.125</v>
      </c>
      <c r="B87" s="32" t="s">
        <v>30</v>
      </c>
      <c r="C87" s="32" t="s">
        <v>168</v>
      </c>
      <c r="D87" s="32" t="s">
        <v>120</v>
      </c>
    </row>
    <row r="88" spans="1:4" customFormat="1" hidden="1" x14ac:dyDescent="0.25">
      <c r="A88" s="31">
        <v>0.125</v>
      </c>
      <c r="B88" s="32" t="s">
        <v>30</v>
      </c>
      <c r="C88" s="32" t="s">
        <v>150</v>
      </c>
      <c r="D88" s="32" t="s">
        <v>124</v>
      </c>
    </row>
    <row r="89" spans="1:4" customFormat="1" hidden="1" x14ac:dyDescent="0.25">
      <c r="A89" s="31">
        <v>0.125</v>
      </c>
      <c r="B89" s="32" t="s">
        <v>30</v>
      </c>
      <c r="C89" s="32" t="s">
        <v>151</v>
      </c>
      <c r="D89" s="32" t="s">
        <v>183</v>
      </c>
    </row>
    <row r="90" spans="1:4" customFormat="1" hidden="1" x14ac:dyDescent="0.25">
      <c r="A90" s="31">
        <v>0.125</v>
      </c>
      <c r="B90" s="32" t="s">
        <v>30</v>
      </c>
      <c r="C90" s="32" t="s">
        <v>153</v>
      </c>
      <c r="D90" s="32" t="s">
        <v>184</v>
      </c>
    </row>
    <row r="91" spans="1:4" customFormat="1" hidden="1" x14ac:dyDescent="0.25">
      <c r="A91" s="31">
        <v>0.125</v>
      </c>
      <c r="B91" s="32" t="s">
        <v>37</v>
      </c>
      <c r="C91" s="32" t="s">
        <v>175</v>
      </c>
      <c r="D91" s="32" t="s">
        <v>185</v>
      </c>
    </row>
    <row r="92" spans="1:4" customFormat="1" hidden="1" x14ac:dyDescent="0.25">
      <c r="A92" s="31">
        <v>0.125</v>
      </c>
      <c r="B92" s="32" t="s">
        <v>30</v>
      </c>
      <c r="C92" s="32" t="s">
        <v>154</v>
      </c>
      <c r="D92" s="32" t="s">
        <v>186</v>
      </c>
    </row>
    <row r="93" spans="1:4" customFormat="1" hidden="1" x14ac:dyDescent="0.25">
      <c r="A93" s="31">
        <v>0.125</v>
      </c>
      <c r="B93" s="32" t="s">
        <v>37</v>
      </c>
      <c r="C93" s="32" t="s">
        <v>4</v>
      </c>
      <c r="D93" s="32" t="s">
        <v>128</v>
      </c>
    </row>
    <row r="94" spans="1:4" customFormat="1" hidden="1" x14ac:dyDescent="0.25">
      <c r="A94" s="31">
        <v>0.125</v>
      </c>
      <c r="B94" s="32" t="s">
        <v>30</v>
      </c>
      <c r="C94" s="32" t="s">
        <v>157</v>
      </c>
      <c r="D94" s="32" t="s">
        <v>187</v>
      </c>
    </row>
    <row r="95" spans="1:4" customFormat="1" hidden="1" x14ac:dyDescent="0.25">
      <c r="A95" s="31">
        <v>0.125</v>
      </c>
      <c r="B95" s="32" t="s">
        <v>30</v>
      </c>
      <c r="C95" s="32" t="s">
        <v>159</v>
      </c>
      <c r="D95" s="32" t="s">
        <v>188</v>
      </c>
    </row>
    <row r="96" spans="1:4" customFormat="1" hidden="1" x14ac:dyDescent="0.25">
      <c r="A96" s="31">
        <v>0.125</v>
      </c>
      <c r="B96" s="32" t="s">
        <v>30</v>
      </c>
      <c r="C96" s="32" t="s">
        <v>161</v>
      </c>
      <c r="D96" s="32" t="s">
        <v>189</v>
      </c>
    </row>
    <row r="97" spans="1:5" customFormat="1" hidden="1" x14ac:dyDescent="0.25">
      <c r="A97" s="31">
        <v>0.125</v>
      </c>
      <c r="B97" s="32" t="s">
        <v>30</v>
      </c>
      <c r="C97" s="32" t="s">
        <v>155</v>
      </c>
      <c r="D97" s="32" t="s">
        <v>190</v>
      </c>
    </row>
    <row r="98" spans="1:5" customFormat="1" hidden="1" x14ac:dyDescent="0.25">
      <c r="A98" s="31">
        <v>0.125</v>
      </c>
      <c r="B98" s="32" t="s">
        <v>30</v>
      </c>
      <c r="C98" s="32" t="s">
        <v>163</v>
      </c>
      <c r="D98" s="32" t="s">
        <v>137</v>
      </c>
    </row>
    <row r="99" spans="1:5" customFormat="1" hidden="1" x14ac:dyDescent="0.25">
      <c r="A99" s="31">
        <v>0.125</v>
      </c>
      <c r="B99" s="32" t="s">
        <v>30</v>
      </c>
      <c r="C99" s="32" t="s">
        <v>166</v>
      </c>
      <c r="D99" s="32" t="s">
        <v>191</v>
      </c>
    </row>
    <row r="100" spans="1:5" customFormat="1" hidden="1" x14ac:dyDescent="0.25">
      <c r="A100" s="31">
        <v>0.25</v>
      </c>
      <c r="B100" s="32" t="s">
        <v>30</v>
      </c>
      <c r="C100" s="32" t="s">
        <v>192</v>
      </c>
      <c r="D100" s="32" t="s">
        <v>193</v>
      </c>
    </row>
    <row r="101" spans="1:5" customFormat="1" hidden="1" x14ac:dyDescent="0.25">
      <c r="A101" s="31">
        <v>0.25</v>
      </c>
      <c r="B101" s="32" t="s">
        <v>35</v>
      </c>
      <c r="C101" s="32" t="s">
        <v>194</v>
      </c>
      <c r="D101" s="32" t="s">
        <v>195</v>
      </c>
      <c r="E101" s="32" t="s">
        <v>143</v>
      </c>
    </row>
    <row r="102" spans="1:5" customFormat="1" hidden="1" x14ac:dyDescent="0.25">
      <c r="A102" s="31">
        <v>0.25</v>
      </c>
      <c r="B102" s="32" t="s">
        <v>37</v>
      </c>
      <c r="C102" s="32" t="s">
        <v>196</v>
      </c>
      <c r="D102" s="32" t="s">
        <v>197</v>
      </c>
    </row>
    <row r="103" spans="1:5" customFormat="1" hidden="1" x14ac:dyDescent="0.25">
      <c r="A103" s="31">
        <v>0.25</v>
      </c>
      <c r="B103" s="32" t="s">
        <v>37</v>
      </c>
      <c r="C103" s="32" t="s">
        <v>7</v>
      </c>
      <c r="D103" s="32" t="s">
        <v>198</v>
      </c>
    </row>
    <row r="104" spans="1:5" customFormat="1" hidden="1" x14ac:dyDescent="0.25">
      <c r="A104" s="31">
        <v>0.25</v>
      </c>
      <c r="B104" s="32" t="s">
        <v>30</v>
      </c>
      <c r="C104" s="32" t="s">
        <v>199</v>
      </c>
      <c r="D104" s="32" t="s">
        <v>200</v>
      </c>
    </row>
    <row r="105" spans="1:5" customFormat="1" hidden="1" x14ac:dyDescent="0.25">
      <c r="A105" s="31">
        <v>0.25</v>
      </c>
      <c r="B105" s="32" t="s">
        <v>30</v>
      </c>
      <c r="C105" s="32" t="s">
        <v>201</v>
      </c>
      <c r="D105" s="32" t="s">
        <v>65</v>
      </c>
    </row>
    <row r="106" spans="1:5" customFormat="1" hidden="1" x14ac:dyDescent="0.25">
      <c r="A106" s="31">
        <v>0.25</v>
      </c>
      <c r="B106" s="32" t="s">
        <v>30</v>
      </c>
      <c r="C106" s="32" t="s">
        <v>202</v>
      </c>
      <c r="D106" s="32" t="s">
        <v>65</v>
      </c>
    </row>
    <row r="107" spans="1:5" customFormat="1" hidden="1" x14ac:dyDescent="0.25">
      <c r="A107" s="31">
        <v>0.25</v>
      </c>
      <c r="B107" s="32" t="s">
        <v>30</v>
      </c>
      <c r="C107" s="32" t="s">
        <v>203</v>
      </c>
      <c r="D107" s="32" t="s">
        <v>67</v>
      </c>
    </row>
    <row r="108" spans="1:5" customFormat="1" hidden="1" x14ac:dyDescent="0.25">
      <c r="A108" s="31">
        <v>0.25</v>
      </c>
      <c r="B108" s="32" t="s">
        <v>30</v>
      </c>
      <c r="C108" s="32" t="s">
        <v>204</v>
      </c>
      <c r="D108" s="32" t="s">
        <v>205</v>
      </c>
    </row>
    <row r="109" spans="1:5" customFormat="1" hidden="1" x14ac:dyDescent="0.25">
      <c r="A109" s="31">
        <v>0.25</v>
      </c>
      <c r="B109" s="32" t="s">
        <v>30</v>
      </c>
      <c r="C109" s="32" t="s">
        <v>206</v>
      </c>
      <c r="D109" s="32" t="s">
        <v>80</v>
      </c>
    </row>
    <row r="110" spans="1:5" customFormat="1" hidden="1" x14ac:dyDescent="0.25">
      <c r="A110" s="31">
        <v>0.25</v>
      </c>
      <c r="B110" s="32" t="s">
        <v>30</v>
      </c>
      <c r="C110" s="32" t="s">
        <v>207</v>
      </c>
      <c r="D110" s="32" t="s">
        <v>90</v>
      </c>
    </row>
    <row r="111" spans="1:5" customFormat="1" hidden="1" x14ac:dyDescent="0.25">
      <c r="A111" s="31">
        <v>0.25</v>
      </c>
      <c r="B111" s="32" t="s">
        <v>30</v>
      </c>
      <c r="C111" s="32" t="s">
        <v>208</v>
      </c>
      <c r="D111" s="32" t="s">
        <v>160</v>
      </c>
    </row>
    <row r="112" spans="1:5" customFormat="1" hidden="1" x14ac:dyDescent="0.25">
      <c r="A112" s="31">
        <v>0.25</v>
      </c>
      <c r="B112" s="32" t="s">
        <v>30</v>
      </c>
      <c r="C112" s="32" t="s">
        <v>209</v>
      </c>
      <c r="D112" s="32" t="s">
        <v>160</v>
      </c>
    </row>
    <row r="113" spans="1:4" customFormat="1" hidden="1" x14ac:dyDescent="0.25">
      <c r="A113" s="31">
        <v>0.25</v>
      </c>
      <c r="B113" s="32" t="s">
        <v>30</v>
      </c>
      <c r="C113" s="32" t="s">
        <v>210</v>
      </c>
      <c r="D113" s="32" t="s">
        <v>211</v>
      </c>
    </row>
    <row r="114" spans="1:4" customFormat="1" hidden="1" x14ac:dyDescent="0.25">
      <c r="A114" s="31">
        <v>0.25</v>
      </c>
      <c r="B114" s="32" t="s">
        <v>30</v>
      </c>
      <c r="C114" s="32" t="s">
        <v>212</v>
      </c>
      <c r="D114" s="32" t="s">
        <v>94</v>
      </c>
    </row>
    <row r="115" spans="1:4" customFormat="1" hidden="1" x14ac:dyDescent="0.25">
      <c r="A115" s="31">
        <v>0.25</v>
      </c>
      <c r="B115" s="32" t="s">
        <v>30</v>
      </c>
      <c r="C115" s="32" t="s">
        <v>213</v>
      </c>
      <c r="D115" s="32" t="s">
        <v>214</v>
      </c>
    </row>
    <row r="116" spans="1:4" customFormat="1" hidden="1" x14ac:dyDescent="0.25">
      <c r="A116" s="31">
        <v>0.25</v>
      </c>
      <c r="B116" s="32" t="s">
        <v>30</v>
      </c>
      <c r="C116" s="32" t="s">
        <v>215</v>
      </c>
      <c r="D116" s="32" t="s">
        <v>214</v>
      </c>
    </row>
    <row r="117" spans="1:4" customFormat="1" hidden="1" x14ac:dyDescent="0.25">
      <c r="A117" s="31">
        <v>0.25</v>
      </c>
      <c r="B117" s="32" t="s">
        <v>30</v>
      </c>
      <c r="C117" s="32" t="s">
        <v>216</v>
      </c>
      <c r="D117" s="32" t="s">
        <v>214</v>
      </c>
    </row>
    <row r="118" spans="1:4" customFormat="1" hidden="1" x14ac:dyDescent="0.25">
      <c r="A118" s="31">
        <v>0.25</v>
      </c>
      <c r="B118" s="32" t="s">
        <v>30</v>
      </c>
      <c r="C118" s="32" t="s">
        <v>217</v>
      </c>
      <c r="D118" s="32" t="s">
        <v>96</v>
      </c>
    </row>
    <row r="119" spans="1:4" customFormat="1" hidden="1" x14ac:dyDescent="0.25">
      <c r="A119" s="31">
        <v>0.25</v>
      </c>
      <c r="B119" s="32" t="s">
        <v>30</v>
      </c>
      <c r="C119" s="32" t="s">
        <v>218</v>
      </c>
      <c r="D119" s="32" t="s">
        <v>99</v>
      </c>
    </row>
    <row r="120" spans="1:4" customFormat="1" hidden="1" x14ac:dyDescent="0.25">
      <c r="A120" s="31">
        <v>0.25</v>
      </c>
      <c r="B120" s="32" t="s">
        <v>30</v>
      </c>
      <c r="C120" s="32" t="s">
        <v>219</v>
      </c>
      <c r="D120" s="32" t="s">
        <v>101</v>
      </c>
    </row>
    <row r="121" spans="1:4" customFormat="1" hidden="1" x14ac:dyDescent="0.25">
      <c r="A121" s="31">
        <v>0.25</v>
      </c>
      <c r="B121" s="32" t="s">
        <v>40</v>
      </c>
      <c r="C121" s="32" t="s">
        <v>220</v>
      </c>
      <c r="D121" s="32" t="s">
        <v>165</v>
      </c>
    </row>
    <row r="122" spans="1:4" customFormat="1" hidden="1" x14ac:dyDescent="0.25">
      <c r="A122" s="31">
        <v>0.25</v>
      </c>
      <c r="B122" s="32" t="s">
        <v>30</v>
      </c>
      <c r="C122" s="32" t="s">
        <v>221</v>
      </c>
      <c r="D122" s="32" t="s">
        <v>167</v>
      </c>
    </row>
    <row r="123" spans="1:4" customFormat="1" hidden="1" x14ac:dyDescent="0.25">
      <c r="A123" s="31">
        <v>0.25</v>
      </c>
      <c r="B123" s="32" t="s">
        <v>34</v>
      </c>
      <c r="C123" s="32" t="s">
        <v>222</v>
      </c>
      <c r="D123" s="32" t="s">
        <v>104</v>
      </c>
    </row>
    <row r="124" spans="1:4" customFormat="1" hidden="1" x14ac:dyDescent="0.25">
      <c r="A124" s="31">
        <v>0.25</v>
      </c>
      <c r="B124" s="32" t="s">
        <v>41</v>
      </c>
      <c r="C124" s="32" t="s">
        <v>223</v>
      </c>
      <c r="D124" s="32" t="s">
        <v>224</v>
      </c>
    </row>
    <row r="125" spans="1:4" customFormat="1" hidden="1" x14ac:dyDescent="0.25">
      <c r="A125" s="31">
        <v>0.25</v>
      </c>
      <c r="B125" s="32" t="s">
        <v>37</v>
      </c>
      <c r="C125" s="32" t="s">
        <v>225</v>
      </c>
      <c r="D125" s="32" t="s">
        <v>226</v>
      </c>
    </row>
    <row r="126" spans="1:4" customFormat="1" hidden="1" x14ac:dyDescent="0.25">
      <c r="A126" s="31">
        <v>0.25</v>
      </c>
      <c r="B126" s="32" t="s">
        <v>34</v>
      </c>
      <c r="C126" s="32" t="s">
        <v>227</v>
      </c>
      <c r="D126" s="32" t="s">
        <v>228</v>
      </c>
    </row>
    <row r="127" spans="1:4" customFormat="1" hidden="1" x14ac:dyDescent="0.25">
      <c r="A127" s="31">
        <v>0.25</v>
      </c>
      <c r="B127" s="32" t="s">
        <v>41</v>
      </c>
      <c r="C127" s="32" t="s">
        <v>229</v>
      </c>
      <c r="D127" s="32" t="s">
        <v>230</v>
      </c>
    </row>
    <row r="128" spans="1:4" customFormat="1" hidden="1" x14ac:dyDescent="0.25">
      <c r="A128" s="31">
        <v>0.25</v>
      </c>
      <c r="B128" s="32" t="s">
        <v>32</v>
      </c>
      <c r="C128" s="32" t="s">
        <v>231</v>
      </c>
      <c r="D128" s="32" t="s">
        <v>232</v>
      </c>
    </row>
    <row r="129" spans="1:5" customFormat="1" hidden="1" x14ac:dyDescent="0.25">
      <c r="A129" s="31">
        <v>0.25</v>
      </c>
      <c r="B129" s="32" t="s">
        <v>34</v>
      </c>
      <c r="C129" s="32" t="s">
        <v>233</v>
      </c>
      <c r="D129" s="32" t="s">
        <v>234</v>
      </c>
    </row>
    <row r="130" spans="1:5" customFormat="1" hidden="1" x14ac:dyDescent="0.25">
      <c r="A130" s="31">
        <v>0.25</v>
      </c>
      <c r="B130" s="32" t="s">
        <v>91</v>
      </c>
      <c r="C130" s="32" t="s">
        <v>235</v>
      </c>
      <c r="D130" s="32" t="s">
        <v>236</v>
      </c>
      <c r="E130" s="32" t="s">
        <v>174</v>
      </c>
    </row>
    <row r="131" spans="1:5" customFormat="1" hidden="1" x14ac:dyDescent="0.25">
      <c r="A131" s="31">
        <v>0.25</v>
      </c>
      <c r="B131" s="32" t="s">
        <v>33</v>
      </c>
      <c r="C131" s="32" t="s">
        <v>237</v>
      </c>
      <c r="D131" s="32" t="s">
        <v>238</v>
      </c>
    </row>
    <row r="132" spans="1:5" customFormat="1" hidden="1" x14ac:dyDescent="0.25">
      <c r="A132" s="31">
        <v>0.25</v>
      </c>
      <c r="B132" s="32" t="s">
        <v>33</v>
      </c>
      <c r="C132" s="32" t="s">
        <v>239</v>
      </c>
      <c r="D132" s="32" t="s">
        <v>238</v>
      </c>
    </row>
    <row r="133" spans="1:5" customFormat="1" hidden="1" x14ac:dyDescent="0.25">
      <c r="A133" s="31">
        <v>0.25</v>
      </c>
      <c r="B133" s="32" t="s">
        <v>33</v>
      </c>
      <c r="C133" s="32" t="s">
        <v>240</v>
      </c>
      <c r="D133" s="32" t="s">
        <v>241</v>
      </c>
    </row>
    <row r="134" spans="1:5" customFormat="1" hidden="1" x14ac:dyDescent="0.25">
      <c r="A134" s="31">
        <v>0.25</v>
      </c>
      <c r="B134" s="32" t="s">
        <v>91</v>
      </c>
      <c r="C134" s="32" t="s">
        <v>242</v>
      </c>
      <c r="D134" s="32" t="s">
        <v>243</v>
      </c>
    </row>
    <row r="135" spans="1:5" customFormat="1" hidden="1" x14ac:dyDescent="0.25">
      <c r="A135" s="31">
        <v>0.25</v>
      </c>
      <c r="B135" s="32" t="s">
        <v>37</v>
      </c>
      <c r="C135" s="32" t="s">
        <v>244</v>
      </c>
      <c r="D135" s="32" t="s">
        <v>245</v>
      </c>
    </row>
    <row r="136" spans="1:5" customFormat="1" hidden="1" x14ac:dyDescent="0.25">
      <c r="A136" s="31">
        <v>0.25</v>
      </c>
      <c r="B136" s="32" t="s">
        <v>37</v>
      </c>
      <c r="C136" s="32" t="s">
        <v>246</v>
      </c>
      <c r="D136" s="32" t="s">
        <v>177</v>
      </c>
    </row>
    <row r="137" spans="1:5" customFormat="1" hidden="1" x14ac:dyDescent="0.25">
      <c r="A137" s="31">
        <v>0.25</v>
      </c>
      <c r="B137" s="32" t="s">
        <v>37</v>
      </c>
      <c r="C137" s="32" t="s">
        <v>247</v>
      </c>
      <c r="D137" s="32" t="s">
        <v>248</v>
      </c>
    </row>
    <row r="138" spans="1:5" customFormat="1" hidden="1" x14ac:dyDescent="0.25">
      <c r="A138" s="31">
        <v>0.25</v>
      </c>
      <c r="B138" s="32" t="s">
        <v>37</v>
      </c>
      <c r="C138" s="32" t="s">
        <v>249</v>
      </c>
      <c r="D138" s="32" t="s">
        <v>250</v>
      </c>
    </row>
    <row r="139" spans="1:5" customFormat="1" hidden="1" x14ac:dyDescent="0.25">
      <c r="A139" s="31">
        <v>0.25</v>
      </c>
      <c r="B139" s="32" t="s">
        <v>37</v>
      </c>
      <c r="C139" s="32" t="s">
        <v>251</v>
      </c>
      <c r="D139" s="32" t="s">
        <v>252</v>
      </c>
    </row>
    <row r="140" spans="1:5" customFormat="1" hidden="1" x14ac:dyDescent="0.25">
      <c r="A140" s="31">
        <v>0.25</v>
      </c>
      <c r="B140" s="32" t="s">
        <v>40</v>
      </c>
      <c r="C140" s="32" t="s">
        <v>253</v>
      </c>
      <c r="D140" s="32" t="s">
        <v>116</v>
      </c>
    </row>
    <row r="141" spans="1:5" customFormat="1" hidden="1" x14ac:dyDescent="0.25">
      <c r="A141" s="31">
        <v>0.25</v>
      </c>
      <c r="B141" s="32" t="s">
        <v>37</v>
      </c>
      <c r="C141" s="32" t="s">
        <v>254</v>
      </c>
      <c r="D141" s="32" t="s">
        <v>255</v>
      </c>
    </row>
    <row r="142" spans="1:5" customFormat="1" hidden="1" x14ac:dyDescent="0.25">
      <c r="A142" s="31">
        <v>0.25</v>
      </c>
      <c r="B142" s="32" t="s">
        <v>37</v>
      </c>
      <c r="C142" s="32" t="s">
        <v>256</v>
      </c>
      <c r="D142" s="32" t="s">
        <v>257</v>
      </c>
    </row>
    <row r="143" spans="1:5" customFormat="1" hidden="1" x14ac:dyDescent="0.25">
      <c r="A143" s="31">
        <v>0.25</v>
      </c>
      <c r="B143" s="32" t="s">
        <v>37</v>
      </c>
      <c r="C143" s="32" t="s">
        <v>196</v>
      </c>
      <c r="D143" s="32" t="s">
        <v>258</v>
      </c>
    </row>
    <row r="144" spans="1:5" customFormat="1" hidden="1" x14ac:dyDescent="0.25">
      <c r="A144" s="31">
        <v>0.25</v>
      </c>
      <c r="B144" s="32" t="s">
        <v>37</v>
      </c>
      <c r="C144" s="32" t="s">
        <v>246</v>
      </c>
      <c r="D144" s="32" t="s">
        <v>259</v>
      </c>
    </row>
    <row r="145" spans="1:4" customFormat="1" hidden="1" x14ac:dyDescent="0.25">
      <c r="A145" s="31">
        <v>0.25</v>
      </c>
      <c r="B145" s="32" t="s">
        <v>40</v>
      </c>
      <c r="C145" s="32" t="s">
        <v>253</v>
      </c>
      <c r="D145" s="32" t="s">
        <v>260</v>
      </c>
    </row>
    <row r="146" spans="1:4" customFormat="1" hidden="1" x14ac:dyDescent="0.25">
      <c r="A146" s="31">
        <v>0.25</v>
      </c>
      <c r="B146" s="32" t="s">
        <v>37</v>
      </c>
      <c r="C146" s="32" t="s">
        <v>261</v>
      </c>
      <c r="D146" s="32" t="s">
        <v>262</v>
      </c>
    </row>
    <row r="147" spans="1:4" customFormat="1" hidden="1" x14ac:dyDescent="0.25">
      <c r="A147" s="31">
        <v>0.25</v>
      </c>
      <c r="B147" s="32" t="s">
        <v>37</v>
      </c>
      <c r="C147" s="32" t="s">
        <v>7</v>
      </c>
      <c r="D147" s="32" t="s">
        <v>181</v>
      </c>
    </row>
    <row r="148" spans="1:4" customFormat="1" hidden="1" x14ac:dyDescent="0.25">
      <c r="A148" s="31">
        <v>0.25</v>
      </c>
      <c r="B148" s="32" t="s">
        <v>41</v>
      </c>
      <c r="C148" s="32" t="s">
        <v>223</v>
      </c>
      <c r="D148" s="32" t="s">
        <v>263</v>
      </c>
    </row>
    <row r="149" spans="1:4" customFormat="1" hidden="1" x14ac:dyDescent="0.25">
      <c r="A149" s="31">
        <v>0.25</v>
      </c>
      <c r="B149" s="32" t="s">
        <v>30</v>
      </c>
      <c r="C149" s="32" t="s">
        <v>199</v>
      </c>
      <c r="D149" s="32" t="s">
        <v>264</v>
      </c>
    </row>
    <row r="150" spans="1:4" customFormat="1" hidden="1" x14ac:dyDescent="0.25">
      <c r="A150" s="31">
        <v>0.25</v>
      </c>
      <c r="B150" s="32" t="s">
        <v>30</v>
      </c>
      <c r="C150" s="32" t="s">
        <v>201</v>
      </c>
      <c r="D150" s="32" t="s">
        <v>265</v>
      </c>
    </row>
    <row r="151" spans="1:4" customFormat="1" hidden="1" x14ac:dyDescent="0.25">
      <c r="A151" s="31">
        <v>0.25</v>
      </c>
      <c r="B151" s="32" t="s">
        <v>30</v>
      </c>
      <c r="C151" s="32" t="s">
        <v>202</v>
      </c>
      <c r="D151" s="32" t="s">
        <v>265</v>
      </c>
    </row>
    <row r="152" spans="1:4" customFormat="1" hidden="1" x14ac:dyDescent="0.25">
      <c r="A152" s="31">
        <v>0.25</v>
      </c>
      <c r="B152" s="32" t="s">
        <v>30</v>
      </c>
      <c r="C152" s="32" t="s">
        <v>203</v>
      </c>
      <c r="D152" s="32" t="s">
        <v>266</v>
      </c>
    </row>
    <row r="153" spans="1:4" customFormat="1" hidden="1" x14ac:dyDescent="0.25">
      <c r="A153" s="31">
        <v>0.25</v>
      </c>
      <c r="B153" s="32" t="s">
        <v>41</v>
      </c>
      <c r="C153" s="32" t="s">
        <v>229</v>
      </c>
      <c r="D153" s="32" t="s">
        <v>121</v>
      </c>
    </row>
    <row r="154" spans="1:4" customFormat="1" hidden="1" x14ac:dyDescent="0.25">
      <c r="A154" s="31">
        <v>0.25</v>
      </c>
      <c r="B154" s="32" t="s">
        <v>30</v>
      </c>
      <c r="C154" s="32" t="s">
        <v>204</v>
      </c>
      <c r="D154" s="32" t="s">
        <v>123</v>
      </c>
    </row>
    <row r="155" spans="1:4" customFormat="1" hidden="1" x14ac:dyDescent="0.25">
      <c r="A155" s="31">
        <v>0.25</v>
      </c>
      <c r="B155" s="32" t="s">
        <v>30</v>
      </c>
      <c r="C155" s="32" t="s">
        <v>192</v>
      </c>
      <c r="D155" s="32" t="s">
        <v>124</v>
      </c>
    </row>
    <row r="156" spans="1:4" customFormat="1" hidden="1" x14ac:dyDescent="0.25">
      <c r="A156" s="31">
        <v>0.25</v>
      </c>
      <c r="B156" s="32" t="s">
        <v>30</v>
      </c>
      <c r="C156" s="32" t="s">
        <v>206</v>
      </c>
      <c r="D156" s="32" t="s">
        <v>126</v>
      </c>
    </row>
    <row r="157" spans="1:4" customFormat="1" hidden="1" x14ac:dyDescent="0.25">
      <c r="A157" s="31">
        <v>0.25</v>
      </c>
      <c r="B157" s="32" t="s">
        <v>37</v>
      </c>
      <c r="C157" s="32" t="s">
        <v>251</v>
      </c>
      <c r="D157" s="32" t="s">
        <v>131</v>
      </c>
    </row>
    <row r="158" spans="1:4" customFormat="1" hidden="1" x14ac:dyDescent="0.25">
      <c r="A158" s="31">
        <v>0.25</v>
      </c>
      <c r="B158" s="32" t="s">
        <v>30</v>
      </c>
      <c r="C158" s="32" t="s">
        <v>207</v>
      </c>
      <c r="D158" s="32" t="s">
        <v>187</v>
      </c>
    </row>
    <row r="159" spans="1:4" customFormat="1" hidden="1" x14ac:dyDescent="0.25">
      <c r="A159" s="31">
        <v>0.25</v>
      </c>
      <c r="B159" s="32" t="s">
        <v>30</v>
      </c>
      <c r="C159" s="32" t="s">
        <v>209</v>
      </c>
      <c r="D159" s="32" t="s">
        <v>188</v>
      </c>
    </row>
    <row r="160" spans="1:4" customFormat="1" hidden="1" x14ac:dyDescent="0.25">
      <c r="A160" s="31">
        <v>0.25</v>
      </c>
      <c r="B160" s="32" t="s">
        <v>30</v>
      </c>
      <c r="C160" s="32" t="s">
        <v>210</v>
      </c>
      <c r="D160" s="32" t="s">
        <v>267</v>
      </c>
    </row>
    <row r="161" spans="1:4" customFormat="1" hidden="1" x14ac:dyDescent="0.25">
      <c r="A161" s="31">
        <v>0.25</v>
      </c>
      <c r="B161" s="32" t="s">
        <v>30</v>
      </c>
      <c r="C161" s="32" t="s">
        <v>208</v>
      </c>
      <c r="D161" s="32" t="s">
        <v>267</v>
      </c>
    </row>
    <row r="162" spans="1:4" customFormat="1" hidden="1" x14ac:dyDescent="0.25">
      <c r="A162" s="31">
        <v>0.25</v>
      </c>
      <c r="B162" s="32" t="s">
        <v>30</v>
      </c>
      <c r="C162" s="32" t="s">
        <v>212</v>
      </c>
      <c r="D162" s="32" t="s">
        <v>132</v>
      </c>
    </row>
    <row r="163" spans="1:4" customFormat="1" hidden="1" x14ac:dyDescent="0.25">
      <c r="A163" s="31">
        <v>0.25</v>
      </c>
      <c r="B163" s="32" t="s">
        <v>30</v>
      </c>
      <c r="C163" s="32" t="s">
        <v>213</v>
      </c>
      <c r="D163" s="32" t="s">
        <v>268</v>
      </c>
    </row>
    <row r="164" spans="1:4" customFormat="1" hidden="1" x14ac:dyDescent="0.25">
      <c r="A164" s="31">
        <v>0.25</v>
      </c>
      <c r="B164" s="32" t="s">
        <v>30</v>
      </c>
      <c r="C164" s="32" t="s">
        <v>215</v>
      </c>
      <c r="D164" s="32" t="s">
        <v>268</v>
      </c>
    </row>
    <row r="165" spans="1:4" customFormat="1" hidden="1" x14ac:dyDescent="0.25">
      <c r="A165" s="31">
        <v>0.25</v>
      </c>
      <c r="B165" s="32" t="s">
        <v>30</v>
      </c>
      <c r="C165" s="32" t="s">
        <v>216</v>
      </c>
      <c r="D165" s="32" t="s">
        <v>268</v>
      </c>
    </row>
    <row r="166" spans="1:4" customFormat="1" hidden="1" x14ac:dyDescent="0.25">
      <c r="A166" s="31">
        <v>0.25</v>
      </c>
      <c r="B166" s="32" t="s">
        <v>91</v>
      </c>
      <c r="C166" s="32" t="s">
        <v>242</v>
      </c>
      <c r="D166" s="32" t="s">
        <v>190</v>
      </c>
    </row>
    <row r="167" spans="1:4" customFormat="1" hidden="1" x14ac:dyDescent="0.25">
      <c r="A167" s="31">
        <v>0.25</v>
      </c>
      <c r="B167" s="32" t="s">
        <v>30</v>
      </c>
      <c r="C167" s="32" t="s">
        <v>217</v>
      </c>
      <c r="D167" s="32" t="s">
        <v>269</v>
      </c>
    </row>
    <row r="168" spans="1:4" customFormat="1" hidden="1" x14ac:dyDescent="0.25">
      <c r="A168" s="31">
        <v>0.25</v>
      </c>
      <c r="B168" s="32" t="s">
        <v>30</v>
      </c>
      <c r="C168" s="32" t="s">
        <v>218</v>
      </c>
      <c r="D168" s="32" t="s">
        <v>134</v>
      </c>
    </row>
    <row r="169" spans="1:4" customFormat="1" hidden="1" x14ac:dyDescent="0.25">
      <c r="A169" s="31">
        <v>0.25</v>
      </c>
      <c r="B169" s="32" t="s">
        <v>30</v>
      </c>
      <c r="C169" s="32" t="s">
        <v>219</v>
      </c>
      <c r="D169" s="32" t="s">
        <v>136</v>
      </c>
    </row>
    <row r="170" spans="1:4" customFormat="1" hidden="1" x14ac:dyDescent="0.25">
      <c r="A170" s="31">
        <v>0.25</v>
      </c>
      <c r="B170" s="32" t="s">
        <v>30</v>
      </c>
      <c r="C170" s="32" t="s">
        <v>221</v>
      </c>
      <c r="D170" s="32" t="s">
        <v>191</v>
      </c>
    </row>
    <row r="171" spans="1:4" customFormat="1" hidden="1" x14ac:dyDescent="0.25">
      <c r="A171" s="31">
        <v>0.25</v>
      </c>
      <c r="B171" s="32" t="s">
        <v>34</v>
      </c>
      <c r="C171" s="32" t="s">
        <v>222</v>
      </c>
      <c r="D171" s="32" t="s">
        <v>138</v>
      </c>
    </row>
    <row r="172" spans="1:4" customFormat="1" hidden="1" x14ac:dyDescent="0.25">
      <c r="A172" s="31">
        <v>0.25</v>
      </c>
      <c r="B172" s="32" t="s">
        <v>30</v>
      </c>
      <c r="C172" s="32" t="s">
        <v>270</v>
      </c>
      <c r="D172" s="32" t="s">
        <v>140</v>
      </c>
    </row>
    <row r="173" spans="1:4" customFormat="1" x14ac:dyDescent="0.25">
      <c r="A173" s="31">
        <v>0.5</v>
      </c>
      <c r="B173" s="32" t="s">
        <v>38</v>
      </c>
      <c r="C173" s="32" t="s">
        <v>271</v>
      </c>
      <c r="D173" s="32" t="s">
        <v>272</v>
      </c>
    </row>
    <row r="174" spans="1:4" customFormat="1" x14ac:dyDescent="0.25">
      <c r="A174" s="31">
        <v>0.5</v>
      </c>
      <c r="B174" s="32" t="s">
        <v>38</v>
      </c>
      <c r="C174" s="32" t="s">
        <v>273</v>
      </c>
      <c r="D174" s="32" t="s">
        <v>274</v>
      </c>
    </row>
    <row r="175" spans="1:4" customFormat="1" x14ac:dyDescent="0.25">
      <c r="A175" s="31">
        <v>0.5</v>
      </c>
      <c r="B175" s="32" t="s">
        <v>37</v>
      </c>
      <c r="C175" s="32" t="s">
        <v>275</v>
      </c>
      <c r="D175" s="32" t="s">
        <v>145</v>
      </c>
    </row>
    <row r="176" spans="1:4" customFormat="1" x14ac:dyDescent="0.25">
      <c r="A176" s="31">
        <v>0.5</v>
      </c>
      <c r="B176" s="32" t="s">
        <v>37</v>
      </c>
      <c r="C176" s="32" t="s">
        <v>276</v>
      </c>
      <c r="D176" s="32" t="s">
        <v>277</v>
      </c>
    </row>
    <row r="177" spans="1:4" customFormat="1" x14ac:dyDescent="0.25">
      <c r="A177" s="31">
        <v>0.5</v>
      </c>
      <c r="B177" s="32" t="s">
        <v>38</v>
      </c>
      <c r="C177" s="32" t="s">
        <v>278</v>
      </c>
      <c r="D177" s="32" t="s">
        <v>200</v>
      </c>
    </row>
    <row r="178" spans="1:4" customFormat="1" x14ac:dyDescent="0.25">
      <c r="A178" s="31">
        <v>0.5</v>
      </c>
      <c r="B178" s="32" t="s">
        <v>30</v>
      </c>
      <c r="C178" s="32" t="s">
        <v>279</v>
      </c>
      <c r="D178" s="32" t="s">
        <v>62</v>
      </c>
    </row>
    <row r="179" spans="1:4" customFormat="1" x14ac:dyDescent="0.25">
      <c r="A179" s="36">
        <v>0.5</v>
      </c>
      <c r="B179" s="32" t="s">
        <v>30</v>
      </c>
      <c r="C179" s="32" t="s">
        <v>280</v>
      </c>
      <c r="D179" s="32" t="s">
        <v>281</v>
      </c>
    </row>
    <row r="180" spans="1:4" customFormat="1" x14ac:dyDescent="0.25">
      <c r="A180" s="31">
        <v>0.5</v>
      </c>
      <c r="B180" s="32" t="s">
        <v>30</v>
      </c>
      <c r="C180" s="32" t="s">
        <v>282</v>
      </c>
      <c r="D180" s="32" t="s">
        <v>205</v>
      </c>
    </row>
    <row r="181" spans="1:4" customFormat="1" x14ac:dyDescent="0.25">
      <c r="A181" s="31">
        <v>0.5</v>
      </c>
      <c r="B181" s="32" t="s">
        <v>30</v>
      </c>
      <c r="C181" s="32" t="s">
        <v>283</v>
      </c>
      <c r="D181" s="32" t="s">
        <v>158</v>
      </c>
    </row>
    <row r="182" spans="1:4" customFormat="1" x14ac:dyDescent="0.25">
      <c r="A182" s="31">
        <v>0.5</v>
      </c>
      <c r="B182" s="32" t="s">
        <v>30</v>
      </c>
      <c r="C182" s="32" t="s">
        <v>284</v>
      </c>
      <c r="D182" s="32" t="s">
        <v>285</v>
      </c>
    </row>
    <row r="183" spans="1:4" customFormat="1" x14ac:dyDescent="0.25">
      <c r="A183" s="31">
        <v>0.5</v>
      </c>
      <c r="B183" s="32" t="s">
        <v>30</v>
      </c>
      <c r="C183" s="32" t="s">
        <v>286</v>
      </c>
      <c r="D183" s="32" t="s">
        <v>211</v>
      </c>
    </row>
    <row r="184" spans="1:4" customFormat="1" x14ac:dyDescent="0.25">
      <c r="A184" s="31">
        <v>0.5</v>
      </c>
      <c r="B184" s="32" t="s">
        <v>30</v>
      </c>
      <c r="C184" s="32" t="s">
        <v>287</v>
      </c>
      <c r="D184" s="32" t="s">
        <v>101</v>
      </c>
    </row>
    <row r="185" spans="1:4" customFormat="1" x14ac:dyDescent="0.25">
      <c r="A185" s="31">
        <v>0.5</v>
      </c>
      <c r="B185" s="32" t="s">
        <v>40</v>
      </c>
      <c r="C185" s="32" t="s">
        <v>288</v>
      </c>
      <c r="D185" s="32" t="s">
        <v>165</v>
      </c>
    </row>
    <row r="186" spans="1:4" customFormat="1" x14ac:dyDescent="0.25">
      <c r="A186" s="31">
        <v>0.5</v>
      </c>
      <c r="B186" s="32" t="s">
        <v>30</v>
      </c>
      <c r="C186" s="32" t="s">
        <v>289</v>
      </c>
      <c r="D186" s="32" t="s">
        <v>104</v>
      </c>
    </row>
    <row r="187" spans="1:4" customFormat="1" x14ac:dyDescent="0.25">
      <c r="A187" s="31">
        <v>0.5</v>
      </c>
      <c r="B187" s="32" t="s">
        <v>30</v>
      </c>
      <c r="C187" s="32" t="s">
        <v>290</v>
      </c>
      <c r="D187" s="32" t="s">
        <v>109</v>
      </c>
    </row>
    <row r="188" spans="1:4" customFormat="1" x14ac:dyDescent="0.25">
      <c r="A188" s="31">
        <v>0.5</v>
      </c>
      <c r="B188" s="32" t="s">
        <v>30</v>
      </c>
      <c r="C188" s="32" t="s">
        <v>270</v>
      </c>
      <c r="D188" s="32" t="s">
        <v>109</v>
      </c>
    </row>
    <row r="189" spans="1:4" customFormat="1" x14ac:dyDescent="0.25">
      <c r="A189" s="31">
        <v>0.5</v>
      </c>
      <c r="B189" s="32" t="s">
        <v>41</v>
      </c>
      <c r="C189" s="32" t="s">
        <v>291</v>
      </c>
      <c r="D189" s="32" t="s">
        <v>292</v>
      </c>
    </row>
    <row r="190" spans="1:4" customFormat="1" x14ac:dyDescent="0.25">
      <c r="A190" s="31">
        <v>0.5</v>
      </c>
      <c r="B190" s="32" t="s">
        <v>41</v>
      </c>
      <c r="C190" s="32" t="s">
        <v>293</v>
      </c>
      <c r="D190" s="32" t="s">
        <v>294</v>
      </c>
    </row>
    <row r="191" spans="1:4" customFormat="1" x14ac:dyDescent="0.25">
      <c r="A191" s="31">
        <v>0.5</v>
      </c>
      <c r="B191" s="32" t="s">
        <v>34</v>
      </c>
      <c r="C191" s="32" t="s">
        <v>295</v>
      </c>
      <c r="D191" s="32" t="s">
        <v>296</v>
      </c>
    </row>
    <row r="192" spans="1:4" customFormat="1" x14ac:dyDescent="0.25">
      <c r="A192" s="31">
        <v>0.5</v>
      </c>
      <c r="B192" s="32" t="s">
        <v>37</v>
      </c>
      <c r="C192" s="32" t="s">
        <v>297</v>
      </c>
      <c r="D192" s="32" t="s">
        <v>298</v>
      </c>
    </row>
    <row r="193" spans="1:5" customFormat="1" x14ac:dyDescent="0.25">
      <c r="A193" s="31">
        <v>0.5</v>
      </c>
      <c r="B193" s="32" t="s">
        <v>38</v>
      </c>
      <c r="C193" s="32" t="s">
        <v>299</v>
      </c>
      <c r="D193" s="32" t="s">
        <v>300</v>
      </c>
    </row>
    <row r="194" spans="1:5" customFormat="1" x14ac:dyDescent="0.25">
      <c r="A194" s="31">
        <v>0.5</v>
      </c>
      <c r="B194" s="32" t="s">
        <v>38</v>
      </c>
      <c r="C194" s="32" t="s">
        <v>301</v>
      </c>
      <c r="D194" s="32" t="s">
        <v>302</v>
      </c>
    </row>
    <row r="195" spans="1:5" customFormat="1" x14ac:dyDescent="0.25">
      <c r="A195" s="31">
        <v>0.5</v>
      </c>
      <c r="B195" s="32" t="s">
        <v>37</v>
      </c>
      <c r="C195" s="32" t="s">
        <v>303</v>
      </c>
      <c r="D195" s="32" t="s">
        <v>304</v>
      </c>
    </row>
    <row r="196" spans="1:5" customFormat="1" x14ac:dyDescent="0.25">
      <c r="A196" s="31">
        <v>0.5</v>
      </c>
      <c r="B196" s="32" t="s">
        <v>39</v>
      </c>
      <c r="C196" s="32" t="s">
        <v>305</v>
      </c>
      <c r="D196" s="32" t="s">
        <v>306</v>
      </c>
    </row>
    <row r="197" spans="1:5" customFormat="1" x14ac:dyDescent="0.25">
      <c r="A197" s="31">
        <v>0.5</v>
      </c>
      <c r="B197" s="32" t="s">
        <v>91</v>
      </c>
      <c r="C197" s="32" t="s">
        <v>307</v>
      </c>
      <c r="D197" s="32" t="s">
        <v>236</v>
      </c>
      <c r="E197" s="32" t="s">
        <v>174</v>
      </c>
    </row>
    <row r="198" spans="1:5" customFormat="1" x14ac:dyDescent="0.25">
      <c r="A198" s="31">
        <v>0.5</v>
      </c>
      <c r="B198" s="32" t="s">
        <v>33</v>
      </c>
      <c r="C198" s="32" t="s">
        <v>308</v>
      </c>
      <c r="D198" s="32" t="s">
        <v>241</v>
      </c>
    </row>
    <row r="199" spans="1:5" customFormat="1" x14ac:dyDescent="0.25">
      <c r="A199" s="31">
        <v>0.5</v>
      </c>
      <c r="B199" s="32" t="s">
        <v>33</v>
      </c>
      <c r="C199" s="32" t="s">
        <v>309</v>
      </c>
      <c r="D199" s="32" t="s">
        <v>310</v>
      </c>
    </row>
    <row r="200" spans="1:5" customFormat="1" x14ac:dyDescent="0.25">
      <c r="A200" s="31">
        <v>0.5</v>
      </c>
      <c r="B200" s="32" t="s">
        <v>33</v>
      </c>
      <c r="C200" s="32" t="s">
        <v>311</v>
      </c>
      <c r="D200" s="32" t="s">
        <v>310</v>
      </c>
    </row>
    <row r="201" spans="1:5" customFormat="1" x14ac:dyDescent="0.25">
      <c r="A201" s="31">
        <v>0.5</v>
      </c>
      <c r="B201" s="32" t="s">
        <v>33</v>
      </c>
      <c r="C201" s="32" t="s">
        <v>312</v>
      </c>
      <c r="D201" s="32" t="s">
        <v>313</v>
      </c>
    </row>
    <row r="202" spans="1:5" customFormat="1" x14ac:dyDescent="0.25">
      <c r="A202" s="31">
        <v>0.5</v>
      </c>
      <c r="B202" s="32" t="s">
        <v>40</v>
      </c>
      <c r="C202" s="32" t="s">
        <v>314</v>
      </c>
      <c r="D202" s="32" t="s">
        <v>313</v>
      </c>
    </row>
    <row r="203" spans="1:5" customFormat="1" x14ac:dyDescent="0.25">
      <c r="A203" s="31">
        <v>0.5</v>
      </c>
      <c r="B203" s="32" t="s">
        <v>37</v>
      </c>
      <c r="C203" s="32" t="s">
        <v>315</v>
      </c>
      <c r="D203" s="32" t="s">
        <v>316</v>
      </c>
    </row>
    <row r="204" spans="1:5" customFormat="1" x14ac:dyDescent="0.25">
      <c r="A204" s="31">
        <v>0.5</v>
      </c>
      <c r="B204" s="32" t="s">
        <v>37</v>
      </c>
      <c r="C204" s="32" t="s">
        <v>317</v>
      </c>
      <c r="D204" s="32" t="s">
        <v>318</v>
      </c>
    </row>
    <row r="205" spans="1:5" customFormat="1" x14ac:dyDescent="0.25">
      <c r="A205" s="31">
        <v>0.5</v>
      </c>
      <c r="B205" s="32" t="s">
        <v>37</v>
      </c>
      <c r="C205" s="32" t="s">
        <v>319</v>
      </c>
      <c r="D205" s="32" t="s">
        <v>320</v>
      </c>
    </row>
    <row r="206" spans="1:5" customFormat="1" x14ac:dyDescent="0.25">
      <c r="A206" s="31">
        <v>0.5</v>
      </c>
      <c r="B206" s="32" t="s">
        <v>37</v>
      </c>
      <c r="C206" s="32" t="s">
        <v>321</v>
      </c>
      <c r="D206" s="32" t="s">
        <v>322</v>
      </c>
    </row>
    <row r="207" spans="1:5" customFormat="1" x14ac:dyDescent="0.25">
      <c r="A207" s="31">
        <v>0.5</v>
      </c>
      <c r="B207" s="32" t="s">
        <v>37</v>
      </c>
      <c r="C207" s="32" t="s">
        <v>323</v>
      </c>
      <c r="D207" s="32" t="s">
        <v>324</v>
      </c>
    </row>
    <row r="208" spans="1:5" customFormat="1" x14ac:dyDescent="0.25">
      <c r="A208" s="31">
        <v>0.5</v>
      </c>
      <c r="B208" s="32" t="s">
        <v>40</v>
      </c>
      <c r="C208" s="32" t="s">
        <v>325</v>
      </c>
      <c r="D208" s="32" t="s">
        <v>116</v>
      </c>
    </row>
    <row r="209" spans="1:4" customFormat="1" x14ac:dyDescent="0.25">
      <c r="A209" s="31">
        <v>0.5</v>
      </c>
      <c r="B209" s="32" t="s">
        <v>37</v>
      </c>
      <c r="C209" s="32" t="s">
        <v>276</v>
      </c>
      <c r="D209" s="32" t="s">
        <v>326</v>
      </c>
    </row>
    <row r="210" spans="1:4" customFormat="1" x14ac:dyDescent="0.25">
      <c r="A210" s="31">
        <v>0.5</v>
      </c>
      <c r="B210" s="32" t="s">
        <v>39</v>
      </c>
      <c r="C210" s="32" t="s">
        <v>305</v>
      </c>
      <c r="D210" s="32" t="s">
        <v>327</v>
      </c>
    </row>
    <row r="211" spans="1:4" customFormat="1" x14ac:dyDescent="0.25">
      <c r="A211" s="31">
        <v>0.5</v>
      </c>
      <c r="B211" s="32" t="s">
        <v>37</v>
      </c>
      <c r="C211" s="32" t="s">
        <v>275</v>
      </c>
      <c r="D211" s="32" t="s">
        <v>328</v>
      </c>
    </row>
    <row r="212" spans="1:4" customFormat="1" x14ac:dyDescent="0.25">
      <c r="A212" s="31">
        <v>0.5</v>
      </c>
      <c r="B212" s="32" t="s">
        <v>38</v>
      </c>
      <c r="C212" s="32" t="s">
        <v>278</v>
      </c>
      <c r="D212" s="32" t="s">
        <v>329</v>
      </c>
    </row>
    <row r="213" spans="1:4" customFormat="1" x14ac:dyDescent="0.25">
      <c r="A213" s="31">
        <v>0.5</v>
      </c>
      <c r="B213" s="37" t="s">
        <v>30</v>
      </c>
      <c r="C213" s="32" t="s">
        <v>279</v>
      </c>
      <c r="D213" s="32" t="s">
        <v>119</v>
      </c>
    </row>
    <row r="214" spans="1:4" customFormat="1" x14ac:dyDescent="0.25">
      <c r="A214" s="31">
        <v>0.5</v>
      </c>
      <c r="B214" s="32" t="s">
        <v>30</v>
      </c>
      <c r="C214" s="32" t="s">
        <v>280</v>
      </c>
      <c r="D214" s="32" t="s">
        <v>266</v>
      </c>
    </row>
    <row r="215" spans="1:4" customFormat="1" x14ac:dyDescent="0.25">
      <c r="A215" s="31">
        <v>0.5</v>
      </c>
      <c r="B215" s="32" t="s">
        <v>34</v>
      </c>
      <c r="C215" s="32" t="s">
        <v>295</v>
      </c>
      <c r="D215" s="32" t="s">
        <v>121</v>
      </c>
    </row>
    <row r="216" spans="1:4" customFormat="1" x14ac:dyDescent="0.25">
      <c r="A216" s="31">
        <v>0.5</v>
      </c>
      <c r="B216" s="32" t="s">
        <v>30</v>
      </c>
      <c r="C216" s="32" t="s">
        <v>282</v>
      </c>
      <c r="D216" s="32" t="s">
        <v>123</v>
      </c>
    </row>
    <row r="217" spans="1:4" customFormat="1" x14ac:dyDescent="0.25">
      <c r="A217" s="31">
        <v>0.5</v>
      </c>
      <c r="B217" s="32" t="s">
        <v>38</v>
      </c>
      <c r="C217" s="32" t="s">
        <v>303</v>
      </c>
      <c r="D217" s="32" t="s">
        <v>126</v>
      </c>
    </row>
    <row r="218" spans="1:4" customFormat="1" x14ac:dyDescent="0.25">
      <c r="A218" s="31">
        <v>0.5</v>
      </c>
      <c r="B218" s="32" t="s">
        <v>37</v>
      </c>
      <c r="C218" s="32" t="s">
        <v>315</v>
      </c>
      <c r="D218" s="32" t="s">
        <v>186</v>
      </c>
    </row>
    <row r="219" spans="1:4" customFormat="1" x14ac:dyDescent="0.25">
      <c r="A219" s="31">
        <v>0.5</v>
      </c>
      <c r="B219" s="32" t="s">
        <v>37</v>
      </c>
      <c r="C219" s="32" t="s">
        <v>319</v>
      </c>
      <c r="D219" s="32" t="s">
        <v>330</v>
      </c>
    </row>
    <row r="220" spans="1:4" customFormat="1" x14ac:dyDescent="0.25">
      <c r="A220" s="31">
        <v>0.5</v>
      </c>
      <c r="B220" s="32" t="s">
        <v>37</v>
      </c>
      <c r="C220" s="32" t="s">
        <v>323</v>
      </c>
      <c r="D220" s="32" t="s">
        <v>131</v>
      </c>
    </row>
    <row r="221" spans="1:4" customFormat="1" x14ac:dyDescent="0.25">
      <c r="A221" s="31">
        <v>0.5</v>
      </c>
      <c r="B221" s="32" t="s">
        <v>30</v>
      </c>
      <c r="C221" s="32" t="s">
        <v>283</v>
      </c>
      <c r="D221" s="32" t="s">
        <v>187</v>
      </c>
    </row>
    <row r="222" spans="1:4" customFormat="1" x14ac:dyDescent="0.25">
      <c r="A222" s="31">
        <v>0.5</v>
      </c>
      <c r="B222" s="32" t="s">
        <v>30</v>
      </c>
      <c r="C222" s="32" t="s">
        <v>284</v>
      </c>
      <c r="D222" s="32" t="s">
        <v>188</v>
      </c>
    </row>
    <row r="223" spans="1:4" customFormat="1" x14ac:dyDescent="0.25">
      <c r="A223" s="31">
        <v>0.5</v>
      </c>
      <c r="B223" s="32" t="s">
        <v>30</v>
      </c>
      <c r="C223" s="32" t="s">
        <v>286</v>
      </c>
      <c r="D223" s="32" t="s">
        <v>132</v>
      </c>
    </row>
    <row r="224" spans="1:4" customFormat="1" x14ac:dyDescent="0.25">
      <c r="A224" s="31">
        <v>0.5</v>
      </c>
      <c r="B224" s="32" t="s">
        <v>38</v>
      </c>
      <c r="C224" s="32" t="s">
        <v>273</v>
      </c>
      <c r="D224" s="32" t="s">
        <v>136</v>
      </c>
    </row>
    <row r="225" spans="1:5" customFormat="1" x14ac:dyDescent="0.25">
      <c r="A225" s="31">
        <v>0.5</v>
      </c>
      <c r="B225" s="32" t="s">
        <v>30</v>
      </c>
      <c r="C225" s="32" t="s">
        <v>287</v>
      </c>
      <c r="D225" s="32" t="s">
        <v>136</v>
      </c>
    </row>
    <row r="226" spans="1:5" customFormat="1" x14ac:dyDescent="0.25">
      <c r="A226" s="31">
        <v>0.5</v>
      </c>
      <c r="B226" s="32" t="s">
        <v>30</v>
      </c>
      <c r="C226" s="32" t="s">
        <v>289</v>
      </c>
      <c r="D226" s="32" t="s">
        <v>138</v>
      </c>
    </row>
    <row r="227" spans="1:5" customFormat="1" x14ac:dyDescent="0.25">
      <c r="A227" s="31">
        <v>0.5</v>
      </c>
      <c r="B227" s="32" t="s">
        <v>30</v>
      </c>
      <c r="C227" s="32" t="s">
        <v>290</v>
      </c>
      <c r="D227" s="32" t="s">
        <v>140</v>
      </c>
    </row>
    <row r="228" spans="1:5" customFormat="1" hidden="1" x14ac:dyDescent="0.25">
      <c r="A228" s="31">
        <v>1</v>
      </c>
      <c r="B228" s="32" t="s">
        <v>35</v>
      </c>
      <c r="C228" s="32" t="s">
        <v>331</v>
      </c>
      <c r="D228" s="32" t="s">
        <v>51</v>
      </c>
      <c r="E228" s="32" t="s">
        <v>52</v>
      </c>
    </row>
    <row r="229" spans="1:5" customFormat="1" hidden="1" x14ac:dyDescent="0.25">
      <c r="A229" s="31">
        <v>1</v>
      </c>
      <c r="B229" s="32" t="s">
        <v>35</v>
      </c>
      <c r="C229" s="32" t="s">
        <v>332</v>
      </c>
      <c r="D229" s="32" t="s">
        <v>333</v>
      </c>
      <c r="E229" s="32" t="s">
        <v>143</v>
      </c>
    </row>
    <row r="230" spans="1:5" customFormat="1" hidden="1" x14ac:dyDescent="0.25">
      <c r="A230" s="31">
        <v>1</v>
      </c>
      <c r="B230" s="32" t="s">
        <v>37</v>
      </c>
      <c r="C230" s="32" t="s">
        <v>334</v>
      </c>
      <c r="D230" s="32" t="s">
        <v>277</v>
      </c>
    </row>
    <row r="231" spans="1:5" customFormat="1" hidden="1" x14ac:dyDescent="0.25">
      <c r="A231" s="31">
        <v>1</v>
      </c>
      <c r="B231" s="32" t="s">
        <v>30</v>
      </c>
      <c r="C231" s="32" t="s">
        <v>335</v>
      </c>
      <c r="D231" s="32" t="s">
        <v>65</v>
      </c>
    </row>
    <row r="232" spans="1:5" customFormat="1" hidden="1" x14ac:dyDescent="0.25">
      <c r="A232" s="31">
        <v>1</v>
      </c>
      <c r="B232" s="32" t="s">
        <v>30</v>
      </c>
      <c r="C232" s="32" t="s">
        <v>336</v>
      </c>
      <c r="D232" s="32" t="s">
        <v>281</v>
      </c>
    </row>
    <row r="233" spans="1:5" customFormat="1" hidden="1" x14ac:dyDescent="0.25">
      <c r="A233" s="31">
        <v>1</v>
      </c>
      <c r="B233" s="32" t="s">
        <v>30</v>
      </c>
      <c r="C233" s="32" t="s">
        <v>337</v>
      </c>
      <c r="D233" s="32" t="s">
        <v>87</v>
      </c>
    </row>
    <row r="234" spans="1:5" customFormat="1" hidden="1" x14ac:dyDescent="0.25">
      <c r="A234" s="31">
        <v>1</v>
      </c>
      <c r="B234" s="32" t="s">
        <v>37</v>
      </c>
      <c r="C234" s="32" t="s">
        <v>338</v>
      </c>
      <c r="D234" s="32" t="s">
        <v>156</v>
      </c>
    </row>
    <row r="235" spans="1:5" customFormat="1" hidden="1" x14ac:dyDescent="0.25">
      <c r="A235" s="31">
        <v>1</v>
      </c>
      <c r="B235" s="32" t="s">
        <v>30</v>
      </c>
      <c r="C235" s="32" t="s">
        <v>339</v>
      </c>
      <c r="D235" s="32" t="s">
        <v>158</v>
      </c>
    </row>
    <row r="236" spans="1:5" customFormat="1" hidden="1" x14ac:dyDescent="0.25">
      <c r="A236" s="31">
        <v>1</v>
      </c>
      <c r="B236" s="32" t="s">
        <v>30</v>
      </c>
      <c r="C236" s="32" t="s">
        <v>340</v>
      </c>
      <c r="D236" s="32" t="s">
        <v>158</v>
      </c>
    </row>
    <row r="237" spans="1:5" customFormat="1" hidden="1" x14ac:dyDescent="0.25">
      <c r="A237" s="31">
        <v>1</v>
      </c>
      <c r="B237" s="32" t="s">
        <v>30</v>
      </c>
      <c r="C237" s="32" t="s">
        <v>341</v>
      </c>
      <c r="D237" s="32" t="s">
        <v>285</v>
      </c>
    </row>
    <row r="238" spans="1:5" customFormat="1" hidden="1" x14ac:dyDescent="0.25">
      <c r="A238" s="31">
        <v>1</v>
      </c>
      <c r="B238" s="32" t="s">
        <v>30</v>
      </c>
      <c r="C238" s="32" t="s">
        <v>342</v>
      </c>
      <c r="D238" s="32" t="s">
        <v>211</v>
      </c>
    </row>
    <row r="239" spans="1:5" customFormat="1" hidden="1" x14ac:dyDescent="0.25">
      <c r="A239" s="31">
        <v>1</v>
      </c>
      <c r="B239" s="32" t="s">
        <v>30</v>
      </c>
      <c r="C239" s="32" t="s">
        <v>343</v>
      </c>
      <c r="D239" t="s">
        <v>211</v>
      </c>
    </row>
    <row r="240" spans="1:5" customFormat="1" hidden="1" x14ac:dyDescent="0.25">
      <c r="A240" s="31">
        <v>1</v>
      </c>
      <c r="B240" s="32" t="s">
        <v>30</v>
      </c>
      <c r="C240" s="32" t="s">
        <v>344</v>
      </c>
      <c r="D240" s="32" t="s">
        <v>162</v>
      </c>
    </row>
    <row r="241" spans="1:5" customFormat="1" hidden="1" x14ac:dyDescent="0.25">
      <c r="A241" s="31">
        <v>1</v>
      </c>
      <c r="B241" s="32" t="s">
        <v>38</v>
      </c>
      <c r="C241" s="32" t="s">
        <v>345</v>
      </c>
      <c r="D241" s="32" t="s">
        <v>99</v>
      </c>
    </row>
    <row r="242" spans="1:5" customFormat="1" hidden="1" x14ac:dyDescent="0.25">
      <c r="A242" s="31">
        <v>1</v>
      </c>
      <c r="B242" s="32" t="s">
        <v>30</v>
      </c>
      <c r="C242" s="32" t="s">
        <v>346</v>
      </c>
      <c r="D242" s="32" t="s">
        <v>99</v>
      </c>
    </row>
    <row r="243" spans="1:5" customFormat="1" hidden="1" x14ac:dyDescent="0.25">
      <c r="A243" s="31">
        <v>1</v>
      </c>
      <c r="B243" s="32" t="s">
        <v>30</v>
      </c>
      <c r="C243" s="32" t="s">
        <v>347</v>
      </c>
      <c r="D243" s="32" t="s">
        <v>167</v>
      </c>
    </row>
    <row r="244" spans="1:5" customFormat="1" hidden="1" x14ac:dyDescent="0.25">
      <c r="A244" s="31">
        <v>1</v>
      </c>
      <c r="B244" s="32" t="s">
        <v>37</v>
      </c>
      <c r="C244" s="32" t="s">
        <v>348</v>
      </c>
      <c r="D244" s="32" t="s">
        <v>349</v>
      </c>
    </row>
    <row r="245" spans="1:5" customFormat="1" hidden="1" x14ac:dyDescent="0.25">
      <c r="A245" s="31">
        <v>1</v>
      </c>
      <c r="B245" s="32" t="s">
        <v>37</v>
      </c>
      <c r="C245" s="32" t="s">
        <v>350</v>
      </c>
      <c r="D245" s="32" t="s">
        <v>351</v>
      </c>
    </row>
    <row r="246" spans="1:5" customFormat="1" hidden="1" x14ac:dyDescent="0.25">
      <c r="A246" s="31">
        <v>1</v>
      </c>
      <c r="B246" s="32" t="s">
        <v>41</v>
      </c>
      <c r="C246" s="32" t="s">
        <v>352</v>
      </c>
      <c r="D246" s="32" t="s">
        <v>353</v>
      </c>
    </row>
    <row r="247" spans="1:5" customFormat="1" hidden="1" x14ac:dyDescent="0.25">
      <c r="A247" s="31">
        <v>1</v>
      </c>
      <c r="B247" s="32" t="s">
        <v>91</v>
      </c>
      <c r="C247" s="32" t="s">
        <v>354</v>
      </c>
      <c r="D247" s="32" t="s">
        <v>355</v>
      </c>
    </row>
    <row r="248" spans="1:5" customFormat="1" hidden="1" x14ac:dyDescent="0.25">
      <c r="A248" s="31">
        <v>1</v>
      </c>
      <c r="B248" s="32" t="s">
        <v>33</v>
      </c>
      <c r="C248" s="32" t="s">
        <v>356</v>
      </c>
      <c r="D248" s="32" t="s">
        <v>357</v>
      </c>
    </row>
    <row r="249" spans="1:5" customFormat="1" hidden="1" x14ac:dyDescent="0.25">
      <c r="A249" s="31">
        <v>1</v>
      </c>
      <c r="B249" s="32" t="s">
        <v>36</v>
      </c>
      <c r="C249" s="32" t="s">
        <v>358</v>
      </c>
      <c r="D249" s="32" t="s">
        <v>359</v>
      </c>
    </row>
    <row r="250" spans="1:5" customFormat="1" hidden="1" x14ac:dyDescent="0.25">
      <c r="A250" s="31">
        <v>1</v>
      </c>
      <c r="B250" s="32" t="s">
        <v>40</v>
      </c>
      <c r="C250" s="32" t="s">
        <v>360</v>
      </c>
      <c r="D250" s="32" t="s">
        <v>112</v>
      </c>
    </row>
    <row r="251" spans="1:5" customFormat="1" hidden="1" x14ac:dyDescent="0.25">
      <c r="A251" s="31">
        <v>1</v>
      </c>
      <c r="B251" s="32" t="s">
        <v>91</v>
      </c>
      <c r="C251" s="32" t="s">
        <v>361</v>
      </c>
      <c r="D251" s="32" t="s">
        <v>362</v>
      </c>
      <c r="E251" s="32" t="s">
        <v>174</v>
      </c>
    </row>
    <row r="252" spans="1:5" customFormat="1" hidden="1" x14ac:dyDescent="0.25">
      <c r="A252" s="31">
        <v>1</v>
      </c>
      <c r="B252" s="32" t="s">
        <v>37</v>
      </c>
      <c r="C252" s="32" t="s">
        <v>363</v>
      </c>
      <c r="D252" s="32" t="s">
        <v>364</v>
      </c>
    </row>
    <row r="253" spans="1:5" customFormat="1" hidden="1" x14ac:dyDescent="0.25">
      <c r="A253" s="31">
        <v>1</v>
      </c>
      <c r="B253" s="32" t="s">
        <v>91</v>
      </c>
      <c r="C253" s="32" t="s">
        <v>365</v>
      </c>
      <c r="D253" s="32" t="s">
        <v>366</v>
      </c>
    </row>
    <row r="254" spans="1:5" customFormat="1" hidden="1" x14ac:dyDescent="0.25">
      <c r="A254" s="31">
        <v>1</v>
      </c>
      <c r="B254" s="32" t="s">
        <v>38</v>
      </c>
      <c r="C254" s="32" t="s">
        <v>367</v>
      </c>
      <c r="D254" s="32" t="s">
        <v>368</v>
      </c>
    </row>
    <row r="255" spans="1:5" customFormat="1" hidden="1" x14ac:dyDescent="0.25">
      <c r="A255" s="31">
        <v>1</v>
      </c>
      <c r="B255" s="32" t="s">
        <v>38</v>
      </c>
      <c r="C255" s="32" t="s">
        <v>369</v>
      </c>
      <c r="D255" s="32" t="s">
        <v>370</v>
      </c>
    </row>
    <row r="256" spans="1:5" customFormat="1" hidden="1" x14ac:dyDescent="0.25">
      <c r="A256" s="31">
        <v>1</v>
      </c>
      <c r="B256" s="32" t="s">
        <v>37</v>
      </c>
      <c r="C256" s="32" t="s">
        <v>371</v>
      </c>
      <c r="D256" s="32" t="s">
        <v>252</v>
      </c>
    </row>
    <row r="257" spans="1:5" customFormat="1" hidden="1" x14ac:dyDescent="0.25">
      <c r="A257" s="31">
        <v>1</v>
      </c>
      <c r="B257" s="32" t="s">
        <v>32</v>
      </c>
      <c r="C257" s="32" t="s">
        <v>372</v>
      </c>
      <c r="D257" s="32" t="s">
        <v>373</v>
      </c>
      <c r="E257" s="32" t="s">
        <v>374</v>
      </c>
    </row>
    <row r="258" spans="1:5" customFormat="1" hidden="1" x14ac:dyDescent="0.25">
      <c r="A258" s="31">
        <v>1</v>
      </c>
      <c r="B258" s="32" t="s">
        <v>37</v>
      </c>
      <c r="C258" s="32" t="s">
        <v>375</v>
      </c>
      <c r="D258" s="32" t="s">
        <v>376</v>
      </c>
    </row>
    <row r="259" spans="1:5" customFormat="1" hidden="1" x14ac:dyDescent="0.25">
      <c r="A259" s="31">
        <v>1</v>
      </c>
      <c r="B259" s="32" t="s">
        <v>34</v>
      </c>
      <c r="C259" s="32" t="s">
        <v>377</v>
      </c>
      <c r="D259" s="32" t="s">
        <v>378</v>
      </c>
    </row>
    <row r="260" spans="1:5" customFormat="1" hidden="1" x14ac:dyDescent="0.25">
      <c r="A260" s="31">
        <v>1</v>
      </c>
      <c r="B260" s="32" t="s">
        <v>32</v>
      </c>
      <c r="C260" s="32" t="s">
        <v>379</v>
      </c>
      <c r="D260" s="32" t="s">
        <v>380</v>
      </c>
    </row>
    <row r="261" spans="1:5" customFormat="1" hidden="1" x14ac:dyDescent="0.25">
      <c r="A261" s="31">
        <v>1</v>
      </c>
      <c r="B261" s="32" t="s">
        <v>32</v>
      </c>
      <c r="C261" s="32" t="s">
        <v>381</v>
      </c>
      <c r="D261" s="32" t="s">
        <v>382</v>
      </c>
    </row>
    <row r="262" spans="1:5" customFormat="1" hidden="1" x14ac:dyDescent="0.25">
      <c r="A262" s="31">
        <v>1</v>
      </c>
      <c r="B262" s="32" t="s">
        <v>38</v>
      </c>
      <c r="C262" s="32" t="s">
        <v>348</v>
      </c>
      <c r="D262" s="32" t="s">
        <v>383</v>
      </c>
    </row>
    <row r="263" spans="1:5" customFormat="1" hidden="1" x14ac:dyDescent="0.25">
      <c r="A263" s="31">
        <v>1</v>
      </c>
      <c r="B263" s="32" t="s">
        <v>41</v>
      </c>
      <c r="C263" s="32" t="s">
        <v>352</v>
      </c>
      <c r="D263" s="32" t="s">
        <v>384</v>
      </c>
    </row>
    <row r="264" spans="1:5" customFormat="1" hidden="1" x14ac:dyDescent="0.25">
      <c r="A264" s="31">
        <v>1</v>
      </c>
      <c r="B264" s="32" t="s">
        <v>37</v>
      </c>
      <c r="C264" s="32" t="s">
        <v>334</v>
      </c>
      <c r="D264" s="32" t="s">
        <v>384</v>
      </c>
    </row>
    <row r="265" spans="1:5" customFormat="1" hidden="1" x14ac:dyDescent="0.25">
      <c r="A265" s="31">
        <v>1</v>
      </c>
      <c r="B265" s="32" t="s">
        <v>91</v>
      </c>
      <c r="C265" s="32" t="s">
        <v>365</v>
      </c>
      <c r="D265" s="32" t="s">
        <v>385</v>
      </c>
    </row>
    <row r="266" spans="1:5" customFormat="1" hidden="1" x14ac:dyDescent="0.25">
      <c r="A266" s="31">
        <v>1</v>
      </c>
      <c r="B266" s="32" t="s">
        <v>30</v>
      </c>
      <c r="C266" s="32" t="s">
        <v>335</v>
      </c>
      <c r="D266" s="32" t="s">
        <v>182</v>
      </c>
    </row>
    <row r="267" spans="1:5" customFormat="1" hidden="1" x14ac:dyDescent="0.25">
      <c r="A267" s="31">
        <v>1</v>
      </c>
      <c r="B267" s="32" t="s">
        <v>30</v>
      </c>
      <c r="C267" s="32" t="s">
        <v>336</v>
      </c>
      <c r="D267" s="32" t="s">
        <v>265</v>
      </c>
    </row>
    <row r="268" spans="1:5" customFormat="1" hidden="1" x14ac:dyDescent="0.25">
      <c r="A268" s="31">
        <v>1</v>
      </c>
      <c r="B268" s="32" t="s">
        <v>30</v>
      </c>
      <c r="C268" s="32" t="s">
        <v>337</v>
      </c>
      <c r="D268" s="32" t="s">
        <v>128</v>
      </c>
    </row>
    <row r="269" spans="1:5" customFormat="1" hidden="1" x14ac:dyDescent="0.25">
      <c r="A269" s="31">
        <v>1</v>
      </c>
      <c r="B269" s="32" t="s">
        <v>38</v>
      </c>
      <c r="C269" s="32" t="s">
        <v>367</v>
      </c>
      <c r="D269" s="32" t="s">
        <v>330</v>
      </c>
    </row>
    <row r="270" spans="1:5" customFormat="1" hidden="1" x14ac:dyDescent="0.25">
      <c r="A270" s="31">
        <v>1</v>
      </c>
      <c r="B270" s="32" t="s">
        <v>38</v>
      </c>
      <c r="C270" s="32" t="s">
        <v>369</v>
      </c>
      <c r="D270" s="32" t="s">
        <v>130</v>
      </c>
    </row>
    <row r="271" spans="1:5" customFormat="1" hidden="1" x14ac:dyDescent="0.25">
      <c r="A271" s="31">
        <v>1</v>
      </c>
      <c r="B271" s="32" t="s">
        <v>30</v>
      </c>
      <c r="C271" s="32" t="s">
        <v>340</v>
      </c>
      <c r="D271" s="32" t="s">
        <v>187</v>
      </c>
    </row>
    <row r="272" spans="1:5" customFormat="1" hidden="1" x14ac:dyDescent="0.25">
      <c r="A272" s="31">
        <v>1</v>
      </c>
      <c r="B272" s="32" t="s">
        <v>30</v>
      </c>
      <c r="C272" s="32" t="s">
        <v>341</v>
      </c>
      <c r="D272" s="32" t="s">
        <v>386</v>
      </c>
    </row>
    <row r="273" spans="1:5" customFormat="1" hidden="1" x14ac:dyDescent="0.25">
      <c r="A273" s="31">
        <v>1</v>
      </c>
      <c r="B273" s="32" t="s">
        <v>30</v>
      </c>
      <c r="C273" s="32" t="s">
        <v>339</v>
      </c>
      <c r="D273" s="32" t="s">
        <v>386</v>
      </c>
    </row>
    <row r="274" spans="1:5" customFormat="1" hidden="1" x14ac:dyDescent="0.25">
      <c r="A274" s="31">
        <v>1</v>
      </c>
      <c r="B274" s="32" t="s">
        <v>30</v>
      </c>
      <c r="C274" s="32" t="s">
        <v>342</v>
      </c>
      <c r="D274" s="32" t="s">
        <v>267</v>
      </c>
    </row>
    <row r="275" spans="1:5" customFormat="1" hidden="1" x14ac:dyDescent="0.25">
      <c r="A275" s="31">
        <v>1</v>
      </c>
      <c r="B275" s="32" t="s">
        <v>30</v>
      </c>
      <c r="C275" s="32" t="s">
        <v>343</v>
      </c>
      <c r="D275" s="32" t="s">
        <v>267</v>
      </c>
    </row>
    <row r="276" spans="1:5" customFormat="1" hidden="1" x14ac:dyDescent="0.25">
      <c r="A276" s="31">
        <v>1</v>
      </c>
      <c r="B276" s="32" t="s">
        <v>30</v>
      </c>
      <c r="C276" s="32" t="s">
        <v>344</v>
      </c>
      <c r="D276" s="32" t="s">
        <v>189</v>
      </c>
    </row>
    <row r="277" spans="1:5" customFormat="1" hidden="1" x14ac:dyDescent="0.25">
      <c r="A277" s="31">
        <v>1</v>
      </c>
      <c r="B277" s="32" t="s">
        <v>41</v>
      </c>
      <c r="C277" s="32" t="s">
        <v>387</v>
      </c>
      <c r="D277" s="32" t="s">
        <v>388</v>
      </c>
    </row>
    <row r="278" spans="1:5" customFormat="1" hidden="1" x14ac:dyDescent="0.25">
      <c r="A278" s="31">
        <v>1</v>
      </c>
      <c r="B278" s="32" t="s">
        <v>38</v>
      </c>
      <c r="C278" s="32" t="s">
        <v>345</v>
      </c>
      <c r="D278" s="32" t="s">
        <v>135</v>
      </c>
    </row>
    <row r="279" spans="1:5" customFormat="1" hidden="1" x14ac:dyDescent="0.25">
      <c r="A279" s="31">
        <v>1</v>
      </c>
      <c r="B279" s="32" t="s">
        <v>30</v>
      </c>
      <c r="C279" s="32" t="s">
        <v>346</v>
      </c>
      <c r="D279" s="32" t="s">
        <v>135</v>
      </c>
    </row>
    <row r="280" spans="1:5" customFormat="1" hidden="1" x14ac:dyDescent="0.25">
      <c r="A280" s="31">
        <v>1</v>
      </c>
      <c r="B280" s="32" t="s">
        <v>30</v>
      </c>
      <c r="C280" s="32" t="s">
        <v>347</v>
      </c>
      <c r="D280" s="32" t="s">
        <v>191</v>
      </c>
    </row>
    <row r="281" spans="1:5" customFormat="1" hidden="1" x14ac:dyDescent="0.25">
      <c r="A281" s="31">
        <v>1</v>
      </c>
      <c r="B281" s="32" t="s">
        <v>37</v>
      </c>
      <c r="C281" s="32" t="s">
        <v>338</v>
      </c>
      <c r="D281" s="32" t="s">
        <v>191</v>
      </c>
    </row>
    <row r="282" spans="1:5" customFormat="1" x14ac:dyDescent="0.25">
      <c r="A282" s="31">
        <v>2</v>
      </c>
      <c r="B282" s="32" t="s">
        <v>32</v>
      </c>
      <c r="C282" s="32" t="s">
        <v>389</v>
      </c>
      <c r="D282" s="32" t="s">
        <v>390</v>
      </c>
    </row>
    <row r="283" spans="1:5" customFormat="1" x14ac:dyDescent="0.25">
      <c r="A283" s="31">
        <v>2</v>
      </c>
      <c r="B283" s="32" t="s">
        <v>32</v>
      </c>
      <c r="C283" s="32" t="s">
        <v>391</v>
      </c>
      <c r="D283" s="32" t="s">
        <v>392</v>
      </c>
    </row>
    <row r="284" spans="1:5" customFormat="1" x14ac:dyDescent="0.25">
      <c r="A284" s="31">
        <v>2</v>
      </c>
      <c r="B284" s="32" t="s">
        <v>30</v>
      </c>
      <c r="C284" s="32" t="s">
        <v>393</v>
      </c>
      <c r="D284" s="32" t="s">
        <v>193</v>
      </c>
    </row>
    <row r="285" spans="1:5" customFormat="1" x14ac:dyDescent="0.25">
      <c r="A285" s="31">
        <v>2</v>
      </c>
      <c r="B285" s="32" t="s">
        <v>30</v>
      </c>
      <c r="C285" s="32" t="s">
        <v>394</v>
      </c>
      <c r="D285" s="32" t="s">
        <v>395</v>
      </c>
    </row>
    <row r="286" spans="1:5" customFormat="1" x14ac:dyDescent="0.25">
      <c r="A286" s="31">
        <v>2</v>
      </c>
      <c r="B286" s="32" t="s">
        <v>35</v>
      </c>
      <c r="C286" s="32" t="s">
        <v>396</v>
      </c>
      <c r="D286" s="32" t="s">
        <v>397</v>
      </c>
      <c r="E286" s="32" t="s">
        <v>52</v>
      </c>
    </row>
    <row r="287" spans="1:5" customFormat="1" x14ac:dyDescent="0.25">
      <c r="A287" s="31">
        <v>2</v>
      </c>
      <c r="B287" s="32" t="s">
        <v>38</v>
      </c>
      <c r="C287" s="32" t="s">
        <v>398</v>
      </c>
      <c r="D287" s="32" t="s">
        <v>399</v>
      </c>
    </row>
    <row r="288" spans="1:5" customFormat="1" x14ac:dyDescent="0.25">
      <c r="A288" s="31">
        <v>2</v>
      </c>
      <c r="B288" s="32" t="s">
        <v>38</v>
      </c>
      <c r="C288" s="32" t="s">
        <v>400</v>
      </c>
      <c r="D288" s="32" t="s">
        <v>401</v>
      </c>
    </row>
    <row r="289" spans="1:4" customFormat="1" x14ac:dyDescent="0.25">
      <c r="A289" s="31">
        <v>2</v>
      </c>
      <c r="B289" s="32" t="s">
        <v>37</v>
      </c>
      <c r="C289" s="32" t="s">
        <v>402</v>
      </c>
      <c r="D289" s="32" t="s">
        <v>147</v>
      </c>
    </row>
    <row r="290" spans="1:4" customFormat="1" x14ac:dyDescent="0.25">
      <c r="A290" s="31">
        <v>2</v>
      </c>
      <c r="B290" s="32" t="s">
        <v>37</v>
      </c>
      <c r="C290" s="32" t="s">
        <v>403</v>
      </c>
      <c r="D290" s="32" t="s">
        <v>404</v>
      </c>
    </row>
    <row r="291" spans="1:4" customFormat="1" x14ac:dyDescent="0.25">
      <c r="A291" s="31">
        <v>2</v>
      </c>
      <c r="B291" s="32" t="s">
        <v>37</v>
      </c>
      <c r="C291" s="32" t="s">
        <v>405</v>
      </c>
      <c r="D291" s="32" t="s">
        <v>59</v>
      </c>
    </row>
    <row r="292" spans="1:4" customFormat="1" x14ac:dyDescent="0.25">
      <c r="A292" s="31">
        <v>2</v>
      </c>
      <c r="B292" s="32" t="s">
        <v>37</v>
      </c>
      <c r="C292" s="32" t="s">
        <v>406</v>
      </c>
      <c r="D292" s="32" t="s">
        <v>407</v>
      </c>
    </row>
    <row r="293" spans="1:4" customFormat="1" x14ac:dyDescent="0.25">
      <c r="A293" s="31">
        <v>2</v>
      </c>
      <c r="B293" s="32" t="s">
        <v>37</v>
      </c>
      <c r="C293" s="32" t="s">
        <v>408</v>
      </c>
      <c r="D293" s="32" t="s">
        <v>407</v>
      </c>
    </row>
    <row r="294" spans="1:4" customFormat="1" x14ac:dyDescent="0.25">
      <c r="A294" s="31">
        <v>2</v>
      </c>
      <c r="B294" s="32" t="s">
        <v>30</v>
      </c>
      <c r="C294" s="32" t="s">
        <v>409</v>
      </c>
      <c r="D294" s="32" t="s">
        <v>281</v>
      </c>
    </row>
    <row r="295" spans="1:4" customFormat="1" x14ac:dyDescent="0.25">
      <c r="A295" s="31">
        <v>2</v>
      </c>
      <c r="B295" s="32" t="s">
        <v>30</v>
      </c>
      <c r="C295" s="32" t="s">
        <v>410</v>
      </c>
      <c r="D295" s="32" t="s">
        <v>205</v>
      </c>
    </row>
    <row r="296" spans="1:4" customFormat="1" x14ac:dyDescent="0.25">
      <c r="A296" s="31">
        <v>2</v>
      </c>
      <c r="B296" s="32" t="s">
        <v>30</v>
      </c>
      <c r="C296" s="32" t="s">
        <v>411</v>
      </c>
      <c r="D296" s="32" t="s">
        <v>205</v>
      </c>
    </row>
    <row r="297" spans="1:4" customFormat="1" x14ac:dyDescent="0.25">
      <c r="A297" s="31">
        <v>2</v>
      </c>
      <c r="B297" s="32" t="s">
        <v>30</v>
      </c>
      <c r="C297" s="32" t="s">
        <v>412</v>
      </c>
      <c r="D297" s="32" t="s">
        <v>152</v>
      </c>
    </row>
    <row r="298" spans="1:4" customFormat="1" x14ac:dyDescent="0.25">
      <c r="A298" s="31">
        <v>2</v>
      </c>
      <c r="B298" s="32" t="s">
        <v>30</v>
      </c>
      <c r="C298" s="32" t="s">
        <v>413</v>
      </c>
      <c r="D298" s="32" t="s">
        <v>90</v>
      </c>
    </row>
    <row r="299" spans="1:4" customFormat="1" x14ac:dyDescent="0.25">
      <c r="A299" s="31">
        <v>2</v>
      </c>
      <c r="B299" s="32" t="s">
        <v>30</v>
      </c>
      <c r="C299" s="32" t="s">
        <v>414</v>
      </c>
      <c r="D299" s="32" t="s">
        <v>94</v>
      </c>
    </row>
    <row r="300" spans="1:4" customFormat="1" x14ac:dyDescent="0.25">
      <c r="A300" s="31">
        <v>2</v>
      </c>
      <c r="B300" s="32" t="s">
        <v>30</v>
      </c>
      <c r="C300" s="32" t="s">
        <v>415</v>
      </c>
      <c r="D300" s="32" t="s">
        <v>162</v>
      </c>
    </row>
    <row r="301" spans="1:4" customFormat="1" x14ac:dyDescent="0.25">
      <c r="A301" s="31">
        <v>2</v>
      </c>
      <c r="B301" s="32" t="s">
        <v>30</v>
      </c>
      <c r="C301" s="32" t="s">
        <v>416</v>
      </c>
      <c r="D301" s="32" t="s">
        <v>214</v>
      </c>
    </row>
    <row r="302" spans="1:4" customFormat="1" x14ac:dyDescent="0.25">
      <c r="A302" s="31">
        <v>2</v>
      </c>
      <c r="B302" s="32" t="s">
        <v>40</v>
      </c>
      <c r="C302" s="32" t="s">
        <v>417</v>
      </c>
      <c r="D302" s="32" t="s">
        <v>109</v>
      </c>
    </row>
    <row r="303" spans="1:4" customFormat="1" x14ac:dyDescent="0.25">
      <c r="A303" s="31">
        <v>2</v>
      </c>
      <c r="B303" s="32" t="s">
        <v>41</v>
      </c>
      <c r="C303" s="32" t="s">
        <v>418</v>
      </c>
      <c r="D303" s="32" t="s">
        <v>224</v>
      </c>
    </row>
    <row r="304" spans="1:4" customFormat="1" x14ac:dyDescent="0.25">
      <c r="A304" s="31">
        <v>2</v>
      </c>
      <c r="B304" s="32" t="s">
        <v>41</v>
      </c>
      <c r="C304" s="32" t="s">
        <v>419</v>
      </c>
      <c r="D304" s="32" t="s">
        <v>420</v>
      </c>
    </row>
    <row r="305" spans="1:5" customFormat="1" x14ac:dyDescent="0.25">
      <c r="A305" s="31">
        <v>2</v>
      </c>
      <c r="B305" s="32" t="s">
        <v>41</v>
      </c>
      <c r="C305" s="32" t="s">
        <v>421</v>
      </c>
      <c r="D305" s="32" t="s">
        <v>292</v>
      </c>
    </row>
    <row r="306" spans="1:5" customFormat="1" x14ac:dyDescent="0.25">
      <c r="A306" s="31">
        <v>2</v>
      </c>
      <c r="B306" s="32" t="s">
        <v>37</v>
      </c>
      <c r="C306" s="32" t="s">
        <v>422</v>
      </c>
      <c r="D306" s="32" t="s">
        <v>423</v>
      </c>
    </row>
    <row r="307" spans="1:5" customFormat="1" x14ac:dyDescent="0.25">
      <c r="A307" s="31">
        <v>2</v>
      </c>
      <c r="B307" s="32" t="s">
        <v>37</v>
      </c>
      <c r="C307" s="32" t="s">
        <v>424</v>
      </c>
      <c r="D307" s="32" t="s">
        <v>425</v>
      </c>
    </row>
    <row r="308" spans="1:5" customFormat="1" x14ac:dyDescent="0.25">
      <c r="A308" s="31">
        <v>2</v>
      </c>
      <c r="B308" s="32" t="s">
        <v>38</v>
      </c>
      <c r="C308" s="32" t="s">
        <v>426</v>
      </c>
      <c r="D308" s="32" t="s">
        <v>427</v>
      </c>
    </row>
    <row r="309" spans="1:5" customFormat="1" x14ac:dyDescent="0.25">
      <c r="A309" s="31">
        <v>2</v>
      </c>
      <c r="B309" s="32" t="s">
        <v>31</v>
      </c>
      <c r="C309" s="32" t="s">
        <v>428</v>
      </c>
      <c r="D309" s="32" t="s">
        <v>429</v>
      </c>
    </row>
    <row r="310" spans="1:5" customFormat="1" x14ac:dyDescent="0.25">
      <c r="A310" s="31">
        <v>2</v>
      </c>
      <c r="B310" s="32" t="s">
        <v>37</v>
      </c>
      <c r="C310" s="32" t="s">
        <v>430</v>
      </c>
      <c r="D310" s="32" t="s">
        <v>431</v>
      </c>
    </row>
    <row r="311" spans="1:5" customFormat="1" x14ac:dyDescent="0.25">
      <c r="A311" s="31">
        <v>2</v>
      </c>
      <c r="B311" s="32" t="s">
        <v>37</v>
      </c>
      <c r="C311" s="32" t="s">
        <v>432</v>
      </c>
      <c r="D311" s="32" t="s">
        <v>431</v>
      </c>
    </row>
    <row r="312" spans="1:5" customFormat="1" x14ac:dyDescent="0.25">
      <c r="A312" s="31">
        <v>2</v>
      </c>
      <c r="B312" s="32" t="s">
        <v>39</v>
      </c>
      <c r="C312" s="32" t="s">
        <v>433</v>
      </c>
      <c r="D312" s="32" t="s">
        <v>306</v>
      </c>
    </row>
    <row r="313" spans="1:5" customFormat="1" x14ac:dyDescent="0.25">
      <c r="A313" s="31">
        <v>2</v>
      </c>
      <c r="B313" s="32" t="s">
        <v>39</v>
      </c>
      <c r="C313" s="32" t="s">
        <v>434</v>
      </c>
      <c r="D313" s="32" t="s">
        <v>435</v>
      </c>
    </row>
    <row r="314" spans="1:5" customFormat="1" x14ac:dyDescent="0.25">
      <c r="A314" s="31">
        <v>2</v>
      </c>
      <c r="B314" s="32" t="s">
        <v>36</v>
      </c>
      <c r="C314" s="32" t="s">
        <v>436</v>
      </c>
      <c r="D314" s="32" t="s">
        <v>437</v>
      </c>
    </row>
    <row r="315" spans="1:5" customFormat="1" x14ac:dyDescent="0.25">
      <c r="A315" s="31">
        <v>2</v>
      </c>
      <c r="B315" s="32" t="s">
        <v>29</v>
      </c>
      <c r="C315" s="32" t="s">
        <v>438</v>
      </c>
      <c r="D315" s="32" t="s">
        <v>439</v>
      </c>
    </row>
    <row r="316" spans="1:5" customFormat="1" x14ac:dyDescent="0.25">
      <c r="A316" s="31">
        <v>2</v>
      </c>
      <c r="B316" s="32" t="s">
        <v>40</v>
      </c>
      <c r="C316" s="32" t="s">
        <v>440</v>
      </c>
      <c r="D316" s="32" t="s">
        <v>441</v>
      </c>
    </row>
    <row r="317" spans="1:5" customFormat="1" x14ac:dyDescent="0.25">
      <c r="A317" s="31">
        <v>2</v>
      </c>
      <c r="B317" s="32" t="s">
        <v>91</v>
      </c>
      <c r="C317" s="32" t="s">
        <v>442</v>
      </c>
      <c r="D317" s="32" t="s">
        <v>362</v>
      </c>
      <c r="E317" s="32" t="s">
        <v>174</v>
      </c>
    </row>
    <row r="318" spans="1:5" customFormat="1" x14ac:dyDescent="0.25">
      <c r="A318" s="31">
        <v>2</v>
      </c>
      <c r="B318" s="32" t="s">
        <v>38</v>
      </c>
      <c r="C318" s="32" t="s">
        <v>443</v>
      </c>
      <c r="D318" s="32" t="s">
        <v>444</v>
      </c>
    </row>
    <row r="319" spans="1:5" customFormat="1" x14ac:dyDescent="0.25">
      <c r="A319" s="31">
        <v>2</v>
      </c>
      <c r="B319" s="32" t="s">
        <v>33</v>
      </c>
      <c r="C319" s="32" t="s">
        <v>445</v>
      </c>
      <c r="D319" s="32" t="s">
        <v>446</v>
      </c>
    </row>
    <row r="320" spans="1:5" customFormat="1" x14ac:dyDescent="0.25">
      <c r="A320" s="31">
        <v>2</v>
      </c>
      <c r="B320" s="32" t="s">
        <v>38</v>
      </c>
      <c r="C320" s="32" t="s">
        <v>447</v>
      </c>
      <c r="D320" s="32" t="s">
        <v>448</v>
      </c>
    </row>
    <row r="321" spans="1:5" customFormat="1" x14ac:dyDescent="0.25">
      <c r="A321" s="31">
        <v>2</v>
      </c>
      <c r="B321" s="32" t="s">
        <v>38</v>
      </c>
      <c r="C321" s="32" t="s">
        <v>449</v>
      </c>
      <c r="D321" s="32" t="s">
        <v>450</v>
      </c>
    </row>
    <row r="322" spans="1:5" customFormat="1" x14ac:dyDescent="0.25">
      <c r="A322" s="31">
        <v>2</v>
      </c>
      <c r="B322" s="32" t="s">
        <v>37</v>
      </c>
      <c r="C322" s="32" t="s">
        <v>451</v>
      </c>
      <c r="D322" s="32" t="s">
        <v>452</v>
      </c>
    </row>
    <row r="323" spans="1:5" customFormat="1" x14ac:dyDescent="0.25">
      <c r="A323" s="31">
        <v>2</v>
      </c>
      <c r="B323" s="32" t="s">
        <v>37</v>
      </c>
      <c r="C323" s="32" t="s">
        <v>453</v>
      </c>
      <c r="D323" s="32" t="s">
        <v>454</v>
      </c>
    </row>
    <row r="324" spans="1:5" customFormat="1" x14ac:dyDescent="0.25">
      <c r="A324" s="31">
        <v>2</v>
      </c>
      <c r="B324" s="32" t="s">
        <v>91</v>
      </c>
      <c r="C324" s="32" t="s">
        <v>455</v>
      </c>
      <c r="D324" s="32" t="s">
        <v>243</v>
      </c>
    </row>
    <row r="325" spans="1:5" customFormat="1" x14ac:dyDescent="0.25">
      <c r="A325" s="31">
        <v>2</v>
      </c>
      <c r="B325" s="32" t="s">
        <v>29</v>
      </c>
      <c r="C325" s="32" t="s">
        <v>456</v>
      </c>
      <c r="D325" s="32" t="s">
        <v>457</v>
      </c>
    </row>
    <row r="326" spans="1:5" customFormat="1" x14ac:dyDescent="0.25">
      <c r="A326" s="31">
        <v>2</v>
      </c>
      <c r="B326" s="32" t="s">
        <v>34</v>
      </c>
      <c r="C326" s="32" t="s">
        <v>458</v>
      </c>
      <c r="D326" s="32" t="s">
        <v>459</v>
      </c>
    </row>
    <row r="327" spans="1:5" customFormat="1" x14ac:dyDescent="0.25">
      <c r="A327" s="31">
        <v>2</v>
      </c>
      <c r="B327" s="32" t="s">
        <v>38</v>
      </c>
      <c r="C327" s="32" t="s">
        <v>460</v>
      </c>
      <c r="D327" s="32" t="s">
        <v>461</v>
      </c>
    </row>
    <row r="328" spans="1:5" customFormat="1" x14ac:dyDescent="0.25">
      <c r="A328" s="31">
        <v>2</v>
      </c>
      <c r="B328" s="32" t="s">
        <v>38</v>
      </c>
      <c r="C328" s="32" t="s">
        <v>462</v>
      </c>
      <c r="D328" s="32" t="s">
        <v>463</v>
      </c>
    </row>
    <row r="329" spans="1:5" customFormat="1" x14ac:dyDescent="0.25">
      <c r="A329" s="31">
        <v>2</v>
      </c>
      <c r="B329" s="32" t="s">
        <v>37</v>
      </c>
      <c r="C329" s="32" t="s">
        <v>464</v>
      </c>
      <c r="D329" s="32" t="s">
        <v>324</v>
      </c>
    </row>
    <row r="330" spans="1:5" customFormat="1" x14ac:dyDescent="0.25">
      <c r="A330" s="31">
        <v>2</v>
      </c>
      <c r="B330" s="32" t="s">
        <v>37</v>
      </c>
      <c r="C330" s="32" t="s">
        <v>465</v>
      </c>
      <c r="D330" s="32" t="s">
        <v>466</v>
      </c>
    </row>
    <row r="331" spans="1:5" customFormat="1" x14ac:dyDescent="0.25">
      <c r="A331" s="31">
        <v>2</v>
      </c>
      <c r="B331" s="32" t="s">
        <v>29</v>
      </c>
      <c r="C331" s="32" t="s">
        <v>467</v>
      </c>
      <c r="D331" s="32" t="s">
        <v>468</v>
      </c>
    </row>
    <row r="332" spans="1:5" customFormat="1" x14ac:dyDescent="0.25">
      <c r="A332" s="31">
        <v>2</v>
      </c>
      <c r="B332" s="32" t="s">
        <v>41</v>
      </c>
      <c r="C332" s="32" t="s">
        <v>469</v>
      </c>
      <c r="D332" s="32" t="s">
        <v>470</v>
      </c>
    </row>
    <row r="333" spans="1:5" customFormat="1" x14ac:dyDescent="0.25">
      <c r="A333" s="31">
        <v>2</v>
      </c>
      <c r="B333" s="32" t="s">
        <v>33</v>
      </c>
      <c r="C333" s="32" t="s">
        <v>471</v>
      </c>
      <c r="D333" s="32" t="s">
        <v>472</v>
      </c>
    </row>
    <row r="334" spans="1:5" customFormat="1" x14ac:dyDescent="0.25">
      <c r="A334" s="31">
        <v>2</v>
      </c>
      <c r="B334" s="32" t="s">
        <v>32</v>
      </c>
      <c r="C334" s="32" t="s">
        <v>372</v>
      </c>
      <c r="D334" s="32" t="s">
        <v>373</v>
      </c>
      <c r="E334" s="32" t="s">
        <v>473</v>
      </c>
    </row>
    <row r="335" spans="1:5" customFormat="1" x14ac:dyDescent="0.25">
      <c r="A335" s="31">
        <v>2</v>
      </c>
      <c r="B335" s="32" t="s">
        <v>38</v>
      </c>
      <c r="C335" s="32" t="s">
        <v>474</v>
      </c>
      <c r="D335" s="32" t="s">
        <v>475</v>
      </c>
    </row>
    <row r="336" spans="1:5" customFormat="1" x14ac:dyDescent="0.25">
      <c r="A336" s="31">
        <v>2</v>
      </c>
      <c r="B336" s="32" t="s">
        <v>32</v>
      </c>
      <c r="C336" s="32" t="s">
        <v>476</v>
      </c>
      <c r="D336" s="32" t="s">
        <v>477</v>
      </c>
    </row>
    <row r="337" spans="1:4" customFormat="1" x14ac:dyDescent="0.25">
      <c r="A337" s="31">
        <v>2</v>
      </c>
      <c r="B337" s="32" t="s">
        <v>32</v>
      </c>
      <c r="C337" s="32" t="s">
        <v>478</v>
      </c>
      <c r="D337" s="32" t="s">
        <v>479</v>
      </c>
    </row>
    <row r="338" spans="1:4" customFormat="1" x14ac:dyDescent="0.25">
      <c r="A338" s="31">
        <v>2</v>
      </c>
      <c r="B338" s="32" t="s">
        <v>32</v>
      </c>
      <c r="C338" s="32" t="s">
        <v>480</v>
      </c>
      <c r="D338" s="32" t="s">
        <v>481</v>
      </c>
    </row>
    <row r="339" spans="1:4" customFormat="1" x14ac:dyDescent="0.25">
      <c r="A339" s="31">
        <v>2</v>
      </c>
      <c r="B339" s="32" t="s">
        <v>38</v>
      </c>
      <c r="C339" s="32" t="s">
        <v>474</v>
      </c>
      <c r="D339" s="32" t="s">
        <v>482</v>
      </c>
    </row>
    <row r="340" spans="1:4" customFormat="1" x14ac:dyDescent="0.25">
      <c r="A340" s="31">
        <v>2</v>
      </c>
      <c r="B340" s="32" t="s">
        <v>41</v>
      </c>
      <c r="C340" s="32" t="s">
        <v>483</v>
      </c>
      <c r="D340" s="32" t="s">
        <v>259</v>
      </c>
    </row>
    <row r="341" spans="1:4" customFormat="1" x14ac:dyDescent="0.25">
      <c r="A341" s="31">
        <v>2</v>
      </c>
      <c r="B341" s="32" t="s">
        <v>91</v>
      </c>
      <c r="C341" s="32" t="s">
        <v>455</v>
      </c>
      <c r="D341" s="32" t="s">
        <v>326</v>
      </c>
    </row>
    <row r="342" spans="1:4" customFormat="1" x14ac:dyDescent="0.25">
      <c r="A342" s="31">
        <v>2</v>
      </c>
      <c r="B342" s="32" t="s">
        <v>38</v>
      </c>
      <c r="C342" s="32" t="s">
        <v>426</v>
      </c>
      <c r="D342" s="32" t="s">
        <v>484</v>
      </c>
    </row>
    <row r="343" spans="1:4" customFormat="1" x14ac:dyDescent="0.25">
      <c r="A343" s="31">
        <v>2</v>
      </c>
      <c r="B343" s="32" t="s">
        <v>30</v>
      </c>
      <c r="C343" s="32" t="s">
        <v>394</v>
      </c>
      <c r="D343" s="32" t="s">
        <v>385</v>
      </c>
    </row>
    <row r="344" spans="1:4" customFormat="1" x14ac:dyDescent="0.25">
      <c r="A344" s="31">
        <v>2</v>
      </c>
      <c r="B344" s="32" t="s">
        <v>37</v>
      </c>
      <c r="C344" s="32" t="s">
        <v>402</v>
      </c>
      <c r="D344" s="32" t="s">
        <v>328</v>
      </c>
    </row>
    <row r="345" spans="1:4" customFormat="1" x14ac:dyDescent="0.25">
      <c r="A345" s="31">
        <v>2</v>
      </c>
      <c r="B345" s="32" t="s">
        <v>37</v>
      </c>
      <c r="C345" s="32" t="s">
        <v>408</v>
      </c>
      <c r="D345" s="32" t="s">
        <v>181</v>
      </c>
    </row>
    <row r="346" spans="1:4" customFormat="1" x14ac:dyDescent="0.25">
      <c r="A346" s="31">
        <v>2</v>
      </c>
      <c r="B346" s="32" t="s">
        <v>30</v>
      </c>
      <c r="C346" s="32" t="s">
        <v>409</v>
      </c>
      <c r="D346" s="32" t="s">
        <v>265</v>
      </c>
    </row>
    <row r="347" spans="1:4" customFormat="1" x14ac:dyDescent="0.25">
      <c r="A347" s="31">
        <v>2</v>
      </c>
      <c r="B347" s="32" t="s">
        <v>30</v>
      </c>
      <c r="C347" s="32" t="s">
        <v>411</v>
      </c>
      <c r="D347" s="32" t="s">
        <v>121</v>
      </c>
    </row>
    <row r="348" spans="1:4" customFormat="1" x14ac:dyDescent="0.25">
      <c r="A348" s="31">
        <v>2</v>
      </c>
      <c r="B348" s="32" t="s">
        <v>30</v>
      </c>
      <c r="C348" s="32" t="s">
        <v>410</v>
      </c>
      <c r="D348" s="32" t="s">
        <v>123</v>
      </c>
    </row>
    <row r="349" spans="1:4" customFormat="1" x14ac:dyDescent="0.25">
      <c r="A349" s="31">
        <v>2</v>
      </c>
      <c r="B349" s="32" t="s">
        <v>30</v>
      </c>
      <c r="C349" s="32" t="s">
        <v>412</v>
      </c>
      <c r="D349" s="32" t="s">
        <v>124</v>
      </c>
    </row>
    <row r="350" spans="1:4" customFormat="1" x14ac:dyDescent="0.25">
      <c r="A350" s="31">
        <v>2</v>
      </c>
      <c r="B350" s="32" t="s">
        <v>31</v>
      </c>
      <c r="C350" s="32" t="s">
        <v>428</v>
      </c>
      <c r="D350" s="32" t="s">
        <v>183</v>
      </c>
    </row>
    <row r="351" spans="1:4" customFormat="1" x14ac:dyDescent="0.25">
      <c r="A351" s="31">
        <v>2</v>
      </c>
      <c r="B351" s="32" t="s">
        <v>30</v>
      </c>
      <c r="C351" s="32" t="s">
        <v>393</v>
      </c>
      <c r="D351" s="32" t="s">
        <v>183</v>
      </c>
    </row>
    <row r="352" spans="1:4" customFormat="1" x14ac:dyDescent="0.25">
      <c r="A352" s="31">
        <v>2</v>
      </c>
      <c r="B352" s="32" t="s">
        <v>39</v>
      </c>
      <c r="C352" s="32" t="s">
        <v>433</v>
      </c>
      <c r="D352" s="32" t="s">
        <v>127</v>
      </c>
    </row>
    <row r="353" spans="1:5" customFormat="1" x14ac:dyDescent="0.25">
      <c r="A353" s="31">
        <v>2</v>
      </c>
      <c r="B353" s="32" t="s">
        <v>36</v>
      </c>
      <c r="C353" s="32" t="s">
        <v>436</v>
      </c>
      <c r="D353" s="32" t="s">
        <v>127</v>
      </c>
    </row>
    <row r="354" spans="1:5" customFormat="1" x14ac:dyDescent="0.25">
      <c r="A354" s="31">
        <v>2</v>
      </c>
      <c r="B354" s="32" t="s">
        <v>29</v>
      </c>
      <c r="C354" s="32" t="s">
        <v>438</v>
      </c>
      <c r="D354" s="32" t="s">
        <v>184</v>
      </c>
    </row>
    <row r="355" spans="1:5" customFormat="1" x14ac:dyDescent="0.25">
      <c r="A355" s="31">
        <v>2</v>
      </c>
      <c r="B355" s="32" t="s">
        <v>30</v>
      </c>
      <c r="C355" s="32" t="s">
        <v>413</v>
      </c>
      <c r="D355" s="32" t="s">
        <v>129</v>
      </c>
    </row>
    <row r="356" spans="1:5" customFormat="1" x14ac:dyDescent="0.25">
      <c r="A356" s="31">
        <v>2</v>
      </c>
      <c r="B356" s="32" t="s">
        <v>38</v>
      </c>
      <c r="C356" s="32" t="s">
        <v>460</v>
      </c>
      <c r="D356" s="32" t="s">
        <v>130</v>
      </c>
    </row>
    <row r="357" spans="1:5" customFormat="1" x14ac:dyDescent="0.25">
      <c r="A357" s="31">
        <v>2</v>
      </c>
      <c r="B357" s="32" t="s">
        <v>38</v>
      </c>
      <c r="C357" s="32" t="s">
        <v>462</v>
      </c>
      <c r="D357" s="32" t="s">
        <v>131</v>
      </c>
    </row>
    <row r="358" spans="1:5" customFormat="1" x14ac:dyDescent="0.25">
      <c r="A358" s="31">
        <v>2</v>
      </c>
      <c r="B358" s="32" t="s">
        <v>30</v>
      </c>
      <c r="C358" s="32" t="s">
        <v>414</v>
      </c>
      <c r="D358" s="32" t="s">
        <v>132</v>
      </c>
    </row>
    <row r="359" spans="1:5" customFormat="1" x14ac:dyDescent="0.25">
      <c r="A359" s="31">
        <v>2</v>
      </c>
      <c r="B359" s="32" t="s">
        <v>30</v>
      </c>
      <c r="C359" s="32" t="s">
        <v>415</v>
      </c>
      <c r="D359" s="32" t="s">
        <v>189</v>
      </c>
    </row>
    <row r="360" spans="1:5" customFormat="1" x14ac:dyDescent="0.25">
      <c r="A360" s="31">
        <v>2</v>
      </c>
      <c r="B360" s="32" t="s">
        <v>30</v>
      </c>
      <c r="C360" s="32" t="s">
        <v>485</v>
      </c>
      <c r="D360" s="32" t="s">
        <v>268</v>
      </c>
    </row>
    <row r="361" spans="1:5" customFormat="1" x14ac:dyDescent="0.25">
      <c r="A361" s="31">
        <v>2</v>
      </c>
      <c r="B361" s="32" t="s">
        <v>33</v>
      </c>
      <c r="C361" s="32" t="s">
        <v>471</v>
      </c>
      <c r="D361" s="32" t="s">
        <v>133</v>
      </c>
    </row>
    <row r="362" spans="1:5" customFormat="1" x14ac:dyDescent="0.25">
      <c r="A362" s="31">
        <v>2</v>
      </c>
      <c r="B362" s="32" t="s">
        <v>38</v>
      </c>
      <c r="C362" s="32" t="s">
        <v>398</v>
      </c>
      <c r="D362" s="32" t="s">
        <v>137</v>
      </c>
    </row>
    <row r="363" spans="1:5" customFormat="1" x14ac:dyDescent="0.25">
      <c r="A363" s="31">
        <v>2</v>
      </c>
      <c r="B363" s="32" t="s">
        <v>40</v>
      </c>
      <c r="C363" s="32" t="s">
        <v>417</v>
      </c>
      <c r="D363" s="32" t="s">
        <v>140</v>
      </c>
    </row>
    <row r="364" spans="1:5" customFormat="1" hidden="1" x14ac:dyDescent="0.25">
      <c r="A364" s="31">
        <v>3</v>
      </c>
      <c r="B364" s="32" t="s">
        <v>32</v>
      </c>
      <c r="C364" s="32" t="s">
        <v>486</v>
      </c>
      <c r="D364" s="32" t="s">
        <v>487</v>
      </c>
    </row>
    <row r="365" spans="1:5" customFormat="1" hidden="1" x14ac:dyDescent="0.25">
      <c r="A365" s="31">
        <v>3</v>
      </c>
      <c r="B365" s="32" t="s">
        <v>38</v>
      </c>
      <c r="C365" s="32" t="s">
        <v>488</v>
      </c>
      <c r="D365" s="32" t="s">
        <v>489</v>
      </c>
    </row>
    <row r="366" spans="1:5" customFormat="1" hidden="1" x14ac:dyDescent="0.25">
      <c r="A366" s="31">
        <v>3</v>
      </c>
      <c r="B366" s="32" t="s">
        <v>38</v>
      </c>
      <c r="C366" s="32" t="s">
        <v>490</v>
      </c>
      <c r="D366" s="32" t="s">
        <v>491</v>
      </c>
    </row>
    <row r="367" spans="1:5" customFormat="1" hidden="1" x14ac:dyDescent="0.25">
      <c r="A367" s="31">
        <v>3</v>
      </c>
      <c r="B367" s="32" t="s">
        <v>30</v>
      </c>
      <c r="C367" s="32" t="s">
        <v>492</v>
      </c>
      <c r="D367" s="32" t="s">
        <v>395</v>
      </c>
    </row>
    <row r="368" spans="1:5" customFormat="1" hidden="1" x14ac:dyDescent="0.25">
      <c r="A368" s="31">
        <v>3</v>
      </c>
      <c r="B368" s="32" t="s">
        <v>35</v>
      </c>
      <c r="C368" s="32" t="s">
        <v>493</v>
      </c>
      <c r="D368" s="32" t="s">
        <v>494</v>
      </c>
      <c r="E368" s="32" t="s">
        <v>52</v>
      </c>
    </row>
    <row r="369" spans="1:4" customFormat="1" hidden="1" x14ac:dyDescent="0.25">
      <c r="A369" s="31">
        <v>3</v>
      </c>
      <c r="B369" s="32" t="s">
        <v>37</v>
      </c>
      <c r="C369" s="32" t="s">
        <v>495</v>
      </c>
      <c r="D369" s="32" t="s">
        <v>145</v>
      </c>
    </row>
    <row r="370" spans="1:4" customFormat="1" hidden="1" x14ac:dyDescent="0.25">
      <c r="A370" s="31">
        <v>3</v>
      </c>
      <c r="B370" s="32" t="s">
        <v>37</v>
      </c>
      <c r="C370" s="32" t="s">
        <v>496</v>
      </c>
      <c r="D370" s="32" t="s">
        <v>148</v>
      </c>
    </row>
    <row r="371" spans="1:4" customFormat="1" hidden="1" x14ac:dyDescent="0.25">
      <c r="A371" s="31">
        <v>3</v>
      </c>
      <c r="B371" s="32" t="s">
        <v>38</v>
      </c>
      <c r="C371" s="32" t="s">
        <v>497</v>
      </c>
      <c r="D371" s="32" t="s">
        <v>62</v>
      </c>
    </row>
    <row r="372" spans="1:4" customFormat="1" hidden="1" x14ac:dyDescent="0.25">
      <c r="A372" s="31">
        <v>3</v>
      </c>
      <c r="B372" s="32" t="s">
        <v>30</v>
      </c>
      <c r="C372" s="32" t="s">
        <v>498</v>
      </c>
      <c r="D372" s="32" t="s">
        <v>152</v>
      </c>
    </row>
    <row r="373" spans="1:4" customFormat="1" hidden="1" x14ac:dyDescent="0.25">
      <c r="A373" s="31">
        <v>3</v>
      </c>
      <c r="B373" s="32" t="s">
        <v>30</v>
      </c>
      <c r="C373" s="32" t="s">
        <v>499</v>
      </c>
      <c r="D373" s="32" t="s">
        <v>87</v>
      </c>
    </row>
    <row r="374" spans="1:4" customFormat="1" hidden="1" x14ac:dyDescent="0.25">
      <c r="A374" s="31">
        <v>3</v>
      </c>
      <c r="B374" s="32" t="s">
        <v>37</v>
      </c>
      <c r="C374" s="32" t="s">
        <v>500</v>
      </c>
      <c r="D374" s="32" t="s">
        <v>156</v>
      </c>
    </row>
    <row r="375" spans="1:4" customFormat="1" hidden="1" x14ac:dyDescent="0.25">
      <c r="A375" s="31">
        <v>3</v>
      </c>
      <c r="B375" s="32" t="s">
        <v>30</v>
      </c>
      <c r="C375" s="32" t="s">
        <v>501</v>
      </c>
      <c r="D375" s="32" t="s">
        <v>160</v>
      </c>
    </row>
    <row r="376" spans="1:4" customFormat="1" hidden="1" x14ac:dyDescent="0.25">
      <c r="A376" s="31">
        <v>3</v>
      </c>
      <c r="B376" s="32" t="s">
        <v>38</v>
      </c>
      <c r="C376" s="32" t="s">
        <v>502</v>
      </c>
      <c r="D376" s="32" t="s">
        <v>503</v>
      </c>
    </row>
    <row r="377" spans="1:4" customFormat="1" hidden="1" x14ac:dyDescent="0.25">
      <c r="A377" s="31">
        <v>3</v>
      </c>
      <c r="B377" s="32" t="s">
        <v>38</v>
      </c>
      <c r="C377" s="32" t="s">
        <v>504</v>
      </c>
      <c r="D377" s="32" t="s">
        <v>505</v>
      </c>
    </row>
    <row r="378" spans="1:4" customFormat="1" hidden="1" x14ac:dyDescent="0.25">
      <c r="A378" s="31">
        <v>3</v>
      </c>
      <c r="B378" s="32" t="s">
        <v>41</v>
      </c>
      <c r="C378" s="32" t="s">
        <v>506</v>
      </c>
      <c r="D378" s="32" t="s">
        <v>507</v>
      </c>
    </row>
    <row r="379" spans="1:4" customFormat="1" hidden="1" x14ac:dyDescent="0.25">
      <c r="A379" s="31">
        <v>3</v>
      </c>
      <c r="B379" s="32" t="s">
        <v>29</v>
      </c>
      <c r="C379" s="32" t="s">
        <v>508</v>
      </c>
      <c r="D379" s="32" t="s">
        <v>509</v>
      </c>
    </row>
    <row r="380" spans="1:4" customFormat="1" hidden="1" x14ac:dyDescent="0.25">
      <c r="A380" s="31">
        <v>3</v>
      </c>
      <c r="B380" s="32" t="s">
        <v>33</v>
      </c>
      <c r="C380" s="32" t="s">
        <v>510</v>
      </c>
      <c r="D380" s="32" t="s">
        <v>511</v>
      </c>
    </row>
    <row r="381" spans="1:4" customFormat="1" hidden="1" x14ac:dyDescent="0.25">
      <c r="A381" s="31">
        <v>3</v>
      </c>
      <c r="B381" s="32" t="s">
        <v>38</v>
      </c>
      <c r="C381" s="32" t="s">
        <v>82</v>
      </c>
      <c r="D381" s="32" t="s">
        <v>512</v>
      </c>
    </row>
    <row r="382" spans="1:4" customFormat="1" hidden="1" x14ac:dyDescent="0.25">
      <c r="A382" s="31">
        <v>3</v>
      </c>
      <c r="B382" s="32" t="s">
        <v>38</v>
      </c>
      <c r="C382" s="32" t="s">
        <v>513</v>
      </c>
      <c r="D382" s="32" t="s">
        <v>514</v>
      </c>
    </row>
    <row r="383" spans="1:4" customFormat="1" hidden="1" x14ac:dyDescent="0.25">
      <c r="A383" s="31">
        <v>3</v>
      </c>
      <c r="B383" s="32" t="s">
        <v>35</v>
      </c>
      <c r="C383" s="32" t="s">
        <v>515</v>
      </c>
      <c r="D383" s="32" t="s">
        <v>516</v>
      </c>
    </row>
    <row r="384" spans="1:4" customFormat="1" hidden="1" x14ac:dyDescent="0.25">
      <c r="A384" s="31">
        <v>3</v>
      </c>
      <c r="B384" s="32" t="s">
        <v>41</v>
      </c>
      <c r="C384" s="32" t="s">
        <v>517</v>
      </c>
      <c r="D384" s="32" t="s">
        <v>518</v>
      </c>
    </row>
    <row r="385" spans="1:4" customFormat="1" hidden="1" x14ac:dyDescent="0.25">
      <c r="A385" s="31">
        <v>3</v>
      </c>
      <c r="B385" s="32" t="s">
        <v>38</v>
      </c>
      <c r="C385" s="32" t="s">
        <v>519</v>
      </c>
      <c r="D385" s="32" t="s">
        <v>520</v>
      </c>
    </row>
    <row r="386" spans="1:4" customFormat="1" hidden="1" x14ac:dyDescent="0.25">
      <c r="A386" s="31">
        <v>3</v>
      </c>
      <c r="B386" s="32" t="s">
        <v>38</v>
      </c>
      <c r="C386" s="32" t="s">
        <v>521</v>
      </c>
      <c r="D386" s="32" t="s">
        <v>522</v>
      </c>
    </row>
    <row r="387" spans="1:4" customFormat="1" hidden="1" x14ac:dyDescent="0.25">
      <c r="A387" s="31">
        <v>3</v>
      </c>
      <c r="B387" s="32" t="s">
        <v>37</v>
      </c>
      <c r="C387" s="32" t="s">
        <v>523</v>
      </c>
      <c r="D387" s="32" t="s">
        <v>524</v>
      </c>
    </row>
    <row r="388" spans="1:4" customFormat="1" hidden="1" x14ac:dyDescent="0.25">
      <c r="A388" s="31">
        <v>3</v>
      </c>
      <c r="B388" s="32" t="s">
        <v>38</v>
      </c>
      <c r="C388" s="32" t="s">
        <v>525</v>
      </c>
      <c r="D388" s="32" t="s">
        <v>526</v>
      </c>
    </row>
    <row r="389" spans="1:4" customFormat="1" hidden="1" x14ac:dyDescent="0.25">
      <c r="A389" s="31">
        <v>3</v>
      </c>
      <c r="B389" s="32" t="s">
        <v>37</v>
      </c>
      <c r="C389" s="32" t="s">
        <v>527</v>
      </c>
      <c r="D389" s="32" t="s">
        <v>320</v>
      </c>
    </row>
    <row r="390" spans="1:4" customFormat="1" hidden="1" x14ac:dyDescent="0.25">
      <c r="A390" s="31">
        <v>3</v>
      </c>
      <c r="B390" s="32" t="s">
        <v>35</v>
      </c>
      <c r="C390" s="32" t="s">
        <v>528</v>
      </c>
      <c r="D390" s="32" t="s">
        <v>529</v>
      </c>
    </row>
    <row r="391" spans="1:4" customFormat="1" hidden="1" x14ac:dyDescent="0.25">
      <c r="A391" s="31">
        <v>3</v>
      </c>
      <c r="B391" s="32" t="s">
        <v>34</v>
      </c>
      <c r="C391" s="32" t="s">
        <v>530</v>
      </c>
      <c r="D391" s="32" t="s">
        <v>531</v>
      </c>
    </row>
    <row r="392" spans="1:4" customFormat="1" hidden="1" x14ac:dyDescent="0.25">
      <c r="A392" s="31">
        <v>3</v>
      </c>
      <c r="B392" s="32" t="s">
        <v>29</v>
      </c>
      <c r="C392" s="32" t="s">
        <v>532</v>
      </c>
      <c r="D392" s="32" t="s">
        <v>533</v>
      </c>
    </row>
    <row r="393" spans="1:4" customFormat="1" hidden="1" x14ac:dyDescent="0.25">
      <c r="A393" s="31">
        <v>3</v>
      </c>
      <c r="B393" s="32" t="s">
        <v>37</v>
      </c>
      <c r="C393" s="32" t="s">
        <v>534</v>
      </c>
      <c r="D393" s="32" t="s">
        <v>535</v>
      </c>
    </row>
    <row r="394" spans="1:4" customFormat="1" hidden="1" x14ac:dyDescent="0.25">
      <c r="A394" s="31">
        <v>3</v>
      </c>
      <c r="B394" s="32" t="s">
        <v>32</v>
      </c>
      <c r="C394" s="32" t="s">
        <v>536</v>
      </c>
      <c r="D394" s="32" t="s">
        <v>537</v>
      </c>
    </row>
    <row r="395" spans="1:4" customFormat="1" hidden="1" x14ac:dyDescent="0.25">
      <c r="A395" s="31">
        <v>3</v>
      </c>
      <c r="B395" s="32" t="s">
        <v>38</v>
      </c>
      <c r="C395" s="32" t="s">
        <v>502</v>
      </c>
      <c r="D395" s="32" t="s">
        <v>383</v>
      </c>
    </row>
    <row r="396" spans="1:4" customFormat="1" hidden="1" x14ac:dyDescent="0.25">
      <c r="A396" s="31">
        <v>3</v>
      </c>
      <c r="B396" s="32" t="s">
        <v>37</v>
      </c>
      <c r="C396" s="32" t="s">
        <v>495</v>
      </c>
      <c r="D396" s="32" t="s">
        <v>260</v>
      </c>
    </row>
    <row r="397" spans="1:4" customFormat="1" hidden="1" x14ac:dyDescent="0.25">
      <c r="A397" s="31">
        <v>3</v>
      </c>
      <c r="B397" s="32" t="s">
        <v>37</v>
      </c>
      <c r="C397" s="32" t="s">
        <v>527</v>
      </c>
      <c r="D397" s="32" t="s">
        <v>538</v>
      </c>
    </row>
    <row r="398" spans="1:4" customFormat="1" hidden="1" x14ac:dyDescent="0.25">
      <c r="A398" s="31">
        <v>3</v>
      </c>
      <c r="B398" s="32" t="s">
        <v>37</v>
      </c>
      <c r="C398" s="32" t="s">
        <v>496</v>
      </c>
      <c r="D398" s="32" t="s">
        <v>117</v>
      </c>
    </row>
    <row r="399" spans="1:4" customFormat="1" hidden="1" x14ac:dyDescent="0.25">
      <c r="A399" s="31">
        <v>3</v>
      </c>
      <c r="B399" s="32" t="s">
        <v>38</v>
      </c>
      <c r="C399" s="32" t="s">
        <v>504</v>
      </c>
      <c r="D399" s="32" t="s">
        <v>329</v>
      </c>
    </row>
    <row r="400" spans="1:4" customFormat="1" hidden="1" x14ac:dyDescent="0.25">
      <c r="A400" s="31">
        <v>3</v>
      </c>
      <c r="B400" s="32" t="s">
        <v>41</v>
      </c>
      <c r="C400" s="32" t="s">
        <v>506</v>
      </c>
      <c r="D400" s="32" t="s">
        <v>264</v>
      </c>
    </row>
    <row r="401" spans="1:5" customFormat="1" hidden="1" x14ac:dyDescent="0.25">
      <c r="A401" s="31">
        <v>3</v>
      </c>
      <c r="B401" s="32" t="s">
        <v>38</v>
      </c>
      <c r="C401" s="32" t="s">
        <v>497</v>
      </c>
      <c r="D401" s="32" t="s">
        <v>264</v>
      </c>
    </row>
    <row r="402" spans="1:5" customFormat="1" hidden="1" x14ac:dyDescent="0.25">
      <c r="A402" s="31">
        <v>3</v>
      </c>
      <c r="B402" s="32" t="s">
        <v>37</v>
      </c>
      <c r="C402" s="32" t="s">
        <v>523</v>
      </c>
      <c r="D402" s="32" t="s">
        <v>118</v>
      </c>
    </row>
    <row r="403" spans="1:5" customFormat="1" hidden="1" x14ac:dyDescent="0.25">
      <c r="A403" s="31">
        <v>3</v>
      </c>
      <c r="B403" s="32" t="s">
        <v>29</v>
      </c>
      <c r="C403" s="32" t="s">
        <v>508</v>
      </c>
      <c r="D403" s="32" t="s">
        <v>120</v>
      </c>
    </row>
    <row r="404" spans="1:5" customFormat="1" hidden="1" x14ac:dyDescent="0.25">
      <c r="A404" s="31">
        <v>3</v>
      </c>
      <c r="B404" s="32" t="s">
        <v>38</v>
      </c>
      <c r="C404" s="32" t="s">
        <v>498</v>
      </c>
      <c r="D404" s="32" t="s">
        <v>183</v>
      </c>
    </row>
    <row r="405" spans="1:5" customFormat="1" hidden="1" x14ac:dyDescent="0.25">
      <c r="A405" s="31">
        <v>3</v>
      </c>
      <c r="B405" s="32" t="s">
        <v>38</v>
      </c>
      <c r="C405" s="32" t="s">
        <v>82</v>
      </c>
      <c r="D405" s="32" t="s">
        <v>126</v>
      </c>
    </row>
    <row r="406" spans="1:5" customFormat="1" hidden="1" x14ac:dyDescent="0.25">
      <c r="A406" s="31">
        <v>3</v>
      </c>
      <c r="B406" s="32" t="s">
        <v>41</v>
      </c>
      <c r="C406" s="32" t="s">
        <v>517</v>
      </c>
      <c r="D406" s="32" t="s">
        <v>184</v>
      </c>
    </row>
    <row r="407" spans="1:5" customFormat="1" hidden="1" x14ac:dyDescent="0.25">
      <c r="A407" s="31">
        <v>3</v>
      </c>
      <c r="B407" s="32" t="s">
        <v>38</v>
      </c>
      <c r="C407" s="32" t="s">
        <v>519</v>
      </c>
      <c r="D407" s="32" t="s">
        <v>185</v>
      </c>
    </row>
    <row r="408" spans="1:5" customFormat="1" hidden="1" x14ac:dyDescent="0.25">
      <c r="A408" s="31">
        <v>3</v>
      </c>
      <c r="B408" s="32" t="s">
        <v>38</v>
      </c>
      <c r="C408" s="32" t="s">
        <v>521</v>
      </c>
      <c r="D408" s="32" t="s">
        <v>186</v>
      </c>
    </row>
    <row r="409" spans="1:5" customFormat="1" hidden="1" x14ac:dyDescent="0.25">
      <c r="A409" s="31">
        <v>3</v>
      </c>
      <c r="B409" s="32" t="s">
        <v>30</v>
      </c>
      <c r="C409" s="32" t="s">
        <v>499</v>
      </c>
      <c r="D409" s="32" t="s">
        <v>128</v>
      </c>
    </row>
    <row r="410" spans="1:5" customFormat="1" hidden="1" x14ac:dyDescent="0.25">
      <c r="A410" s="31">
        <v>3</v>
      </c>
      <c r="B410" s="32" t="s">
        <v>35</v>
      </c>
      <c r="C410" s="32" t="s">
        <v>528</v>
      </c>
      <c r="D410" s="32" t="s">
        <v>330</v>
      </c>
    </row>
    <row r="411" spans="1:5" customFormat="1" hidden="1" x14ac:dyDescent="0.25">
      <c r="A411" s="31">
        <v>3</v>
      </c>
      <c r="B411" s="32" t="s">
        <v>30</v>
      </c>
      <c r="C411" s="32" t="s">
        <v>501</v>
      </c>
      <c r="D411" s="32" t="s">
        <v>188</v>
      </c>
    </row>
    <row r="412" spans="1:5" customFormat="1" hidden="1" x14ac:dyDescent="0.25">
      <c r="A412" s="31">
        <v>3</v>
      </c>
      <c r="B412" s="32" t="s">
        <v>38</v>
      </c>
      <c r="C412" s="32" t="s">
        <v>488</v>
      </c>
      <c r="D412" s="32" t="s">
        <v>134</v>
      </c>
    </row>
    <row r="413" spans="1:5" customFormat="1" hidden="1" x14ac:dyDescent="0.25">
      <c r="A413" s="31">
        <v>3</v>
      </c>
      <c r="B413" s="32" t="s">
        <v>38</v>
      </c>
      <c r="C413" s="32" t="s">
        <v>513</v>
      </c>
      <c r="D413" s="32" t="s">
        <v>138</v>
      </c>
    </row>
    <row r="414" spans="1:5" customFormat="1" hidden="1" x14ac:dyDescent="0.25">
      <c r="A414" s="31">
        <v>3</v>
      </c>
      <c r="B414" s="32" t="s">
        <v>30</v>
      </c>
      <c r="C414" s="32" t="s">
        <v>492</v>
      </c>
      <c r="D414" s="32" t="s">
        <v>140</v>
      </c>
    </row>
    <row r="415" spans="1:5" customFormat="1" hidden="1" x14ac:dyDescent="0.25">
      <c r="A415" s="31">
        <v>4</v>
      </c>
      <c r="B415" s="32" t="s">
        <v>32</v>
      </c>
      <c r="C415" s="32" t="s">
        <v>539</v>
      </c>
      <c r="D415" s="32" t="s">
        <v>540</v>
      </c>
    </row>
    <row r="416" spans="1:5" customFormat="1" hidden="1" x14ac:dyDescent="0.25">
      <c r="A416" s="31">
        <v>4</v>
      </c>
      <c r="B416" s="32" t="s">
        <v>35</v>
      </c>
      <c r="C416" s="32" t="s">
        <v>541</v>
      </c>
      <c r="D416" s="32" t="s">
        <v>542</v>
      </c>
      <c r="E416" s="32" t="s">
        <v>143</v>
      </c>
    </row>
    <row r="417" spans="1:4" customFormat="1" hidden="1" x14ac:dyDescent="0.25">
      <c r="A417" s="31">
        <v>4</v>
      </c>
      <c r="B417" s="32" t="s">
        <v>31</v>
      </c>
      <c r="C417" s="32" t="s">
        <v>543</v>
      </c>
      <c r="D417" s="32" t="s">
        <v>544</v>
      </c>
    </row>
    <row r="418" spans="1:4" customFormat="1" hidden="1" x14ac:dyDescent="0.25">
      <c r="A418" s="31">
        <v>4</v>
      </c>
      <c r="B418" s="32" t="s">
        <v>29</v>
      </c>
      <c r="C418" s="32" t="s">
        <v>545</v>
      </c>
      <c r="D418" s="32" t="s">
        <v>546</v>
      </c>
    </row>
    <row r="419" spans="1:4" customFormat="1" hidden="1" x14ac:dyDescent="0.25">
      <c r="A419" s="31">
        <v>4</v>
      </c>
      <c r="B419" s="32" t="s">
        <v>30</v>
      </c>
      <c r="C419" s="32" t="s">
        <v>547</v>
      </c>
      <c r="D419" s="32" t="s">
        <v>96</v>
      </c>
    </row>
    <row r="420" spans="1:4" customFormat="1" hidden="1" x14ac:dyDescent="0.25">
      <c r="A420" s="31">
        <v>4</v>
      </c>
      <c r="B420" s="32" t="s">
        <v>35</v>
      </c>
      <c r="C420" s="32" t="s">
        <v>548</v>
      </c>
      <c r="D420" s="32" t="s">
        <v>549</v>
      </c>
    </row>
    <row r="421" spans="1:4" customFormat="1" hidden="1" x14ac:dyDescent="0.25">
      <c r="A421" s="31">
        <v>4</v>
      </c>
      <c r="B421" s="32" t="s">
        <v>37</v>
      </c>
      <c r="C421" s="32" t="s">
        <v>550</v>
      </c>
      <c r="D421" s="32" t="s">
        <v>304</v>
      </c>
    </row>
    <row r="422" spans="1:4" customFormat="1" hidden="1" x14ac:dyDescent="0.25">
      <c r="A422" s="31">
        <v>4</v>
      </c>
      <c r="B422" s="32" t="s">
        <v>39</v>
      </c>
      <c r="C422" s="32" t="s">
        <v>551</v>
      </c>
      <c r="D422" s="32" t="s">
        <v>552</v>
      </c>
    </row>
    <row r="423" spans="1:4" customFormat="1" hidden="1" x14ac:dyDescent="0.25">
      <c r="A423" s="31">
        <v>4</v>
      </c>
      <c r="B423" s="32" t="s">
        <v>41</v>
      </c>
      <c r="C423" s="32" t="s">
        <v>553</v>
      </c>
      <c r="D423" s="32" t="s">
        <v>554</v>
      </c>
    </row>
    <row r="424" spans="1:4" customFormat="1" hidden="1" x14ac:dyDescent="0.25">
      <c r="A424" s="31">
        <v>4</v>
      </c>
      <c r="B424" s="32" t="s">
        <v>41</v>
      </c>
      <c r="C424" s="32" t="s">
        <v>555</v>
      </c>
      <c r="D424" s="32" t="s">
        <v>556</v>
      </c>
    </row>
    <row r="425" spans="1:4" customFormat="1" hidden="1" x14ac:dyDescent="0.25">
      <c r="A425" s="31">
        <v>4</v>
      </c>
      <c r="B425" s="32" t="s">
        <v>37</v>
      </c>
      <c r="C425" s="32" t="s">
        <v>557</v>
      </c>
      <c r="D425" s="32" t="s">
        <v>558</v>
      </c>
    </row>
    <row r="426" spans="1:4" customFormat="1" hidden="1" x14ac:dyDescent="0.25">
      <c r="A426" s="31">
        <v>4</v>
      </c>
      <c r="B426" s="32" t="s">
        <v>37</v>
      </c>
      <c r="C426" s="32" t="s">
        <v>559</v>
      </c>
      <c r="D426" s="32" t="s">
        <v>452</v>
      </c>
    </row>
    <row r="427" spans="1:4" customFormat="1" hidden="1" x14ac:dyDescent="0.25">
      <c r="A427" s="31">
        <v>4</v>
      </c>
      <c r="B427" s="32" t="s">
        <v>37</v>
      </c>
      <c r="C427" s="32" t="s">
        <v>560</v>
      </c>
      <c r="D427" s="32" t="s">
        <v>454</v>
      </c>
    </row>
    <row r="428" spans="1:4" customFormat="1" hidden="1" x14ac:dyDescent="0.25">
      <c r="A428" s="31">
        <v>4</v>
      </c>
      <c r="B428" s="32" t="s">
        <v>38</v>
      </c>
      <c r="C428" s="32" t="s">
        <v>561</v>
      </c>
      <c r="D428" s="32" t="s">
        <v>562</v>
      </c>
    </row>
    <row r="429" spans="1:4" customFormat="1" hidden="1" x14ac:dyDescent="0.25">
      <c r="A429" s="31">
        <v>4</v>
      </c>
      <c r="B429" s="32" t="s">
        <v>91</v>
      </c>
      <c r="C429" s="32" t="s">
        <v>563</v>
      </c>
      <c r="D429" s="32" t="s">
        <v>564</v>
      </c>
    </row>
    <row r="430" spans="1:4" customFormat="1" hidden="1" x14ac:dyDescent="0.25">
      <c r="A430" s="31">
        <v>4</v>
      </c>
      <c r="B430" s="32" t="s">
        <v>37</v>
      </c>
      <c r="C430" s="32" t="s">
        <v>565</v>
      </c>
      <c r="D430" s="32" t="s">
        <v>324</v>
      </c>
    </row>
    <row r="431" spans="1:4" customFormat="1" hidden="1" x14ac:dyDescent="0.25">
      <c r="A431" s="31">
        <v>4</v>
      </c>
      <c r="B431" s="32" t="s">
        <v>41</v>
      </c>
      <c r="C431" s="32" t="s">
        <v>566</v>
      </c>
      <c r="D431" s="32" t="s">
        <v>567</v>
      </c>
    </row>
    <row r="432" spans="1:4" customFormat="1" hidden="1" x14ac:dyDescent="0.25">
      <c r="A432" s="31">
        <v>4</v>
      </c>
      <c r="B432" s="32" t="s">
        <v>41</v>
      </c>
      <c r="C432" s="32" t="s">
        <v>568</v>
      </c>
      <c r="D432" s="32" t="s">
        <v>569</v>
      </c>
    </row>
    <row r="433" spans="1:5" customFormat="1" hidden="1" x14ac:dyDescent="0.25">
      <c r="A433" s="31">
        <v>4</v>
      </c>
      <c r="B433" s="32" t="s">
        <v>36</v>
      </c>
      <c r="C433" s="32" t="s">
        <v>570</v>
      </c>
      <c r="D433" s="32" t="s">
        <v>571</v>
      </c>
    </row>
    <row r="434" spans="1:5" customFormat="1" hidden="1" x14ac:dyDescent="0.25">
      <c r="A434" s="31">
        <v>4</v>
      </c>
      <c r="B434" s="32" t="s">
        <v>91</v>
      </c>
      <c r="C434" s="32" t="s">
        <v>563</v>
      </c>
      <c r="D434" s="32" t="s">
        <v>327</v>
      </c>
    </row>
    <row r="435" spans="1:5" customFormat="1" hidden="1" x14ac:dyDescent="0.25">
      <c r="A435" s="31">
        <v>4</v>
      </c>
      <c r="B435" s="32" t="s">
        <v>41</v>
      </c>
      <c r="C435" s="32" t="s">
        <v>566</v>
      </c>
      <c r="D435" s="32" t="s">
        <v>388</v>
      </c>
    </row>
    <row r="436" spans="1:5" customFormat="1" hidden="1" x14ac:dyDescent="0.25">
      <c r="A436" s="31">
        <v>4</v>
      </c>
      <c r="B436" s="32" t="s">
        <v>41</v>
      </c>
      <c r="C436" s="32" t="s">
        <v>568</v>
      </c>
      <c r="D436" s="32" t="s">
        <v>572</v>
      </c>
    </row>
    <row r="437" spans="1:5" customFormat="1" hidden="1" x14ac:dyDescent="0.25">
      <c r="A437" s="31">
        <v>4</v>
      </c>
      <c r="B437" s="32" t="s">
        <v>30</v>
      </c>
      <c r="C437" s="32" t="s">
        <v>547</v>
      </c>
      <c r="D437" s="32" t="s">
        <v>269</v>
      </c>
    </row>
    <row r="438" spans="1:5" customFormat="1" hidden="1" x14ac:dyDescent="0.25">
      <c r="A438" s="31">
        <v>4</v>
      </c>
      <c r="B438" s="32" t="s">
        <v>41</v>
      </c>
      <c r="C438" s="32" t="s">
        <v>555</v>
      </c>
      <c r="D438" s="32" t="s">
        <v>139</v>
      </c>
    </row>
    <row r="439" spans="1:5" customFormat="1" hidden="1" x14ac:dyDescent="0.25">
      <c r="A439" s="31">
        <v>5</v>
      </c>
      <c r="B439" s="32" t="s">
        <v>30</v>
      </c>
      <c r="C439" s="32" t="s">
        <v>573</v>
      </c>
      <c r="D439" s="32" t="s">
        <v>193</v>
      </c>
    </row>
    <row r="440" spans="1:5" customFormat="1" hidden="1" x14ac:dyDescent="0.25">
      <c r="A440" s="31">
        <v>5</v>
      </c>
      <c r="B440" s="32" t="s">
        <v>35</v>
      </c>
      <c r="C440" s="32" t="s">
        <v>574</v>
      </c>
      <c r="D440" s="32" t="s">
        <v>494</v>
      </c>
      <c r="E440" s="32" t="s">
        <v>52</v>
      </c>
    </row>
    <row r="441" spans="1:5" customFormat="1" hidden="1" x14ac:dyDescent="0.25">
      <c r="A441" s="31">
        <v>5</v>
      </c>
      <c r="B441" s="32" t="s">
        <v>35</v>
      </c>
      <c r="C441" s="32" t="s">
        <v>575</v>
      </c>
      <c r="D441" s="32" t="s">
        <v>576</v>
      </c>
      <c r="E441" s="32" t="s">
        <v>143</v>
      </c>
    </row>
    <row r="442" spans="1:5" customFormat="1" hidden="1" x14ac:dyDescent="0.25">
      <c r="A442" s="31">
        <v>5</v>
      </c>
      <c r="B442" s="32" t="s">
        <v>35</v>
      </c>
      <c r="C442" s="32" t="s">
        <v>577</v>
      </c>
      <c r="D442" s="32" t="s">
        <v>578</v>
      </c>
    </row>
    <row r="443" spans="1:5" customFormat="1" hidden="1" x14ac:dyDescent="0.25">
      <c r="A443" s="31">
        <v>5</v>
      </c>
      <c r="B443" s="32" t="s">
        <v>37</v>
      </c>
      <c r="C443" s="32" t="s">
        <v>579</v>
      </c>
      <c r="D443" s="32" t="s">
        <v>404</v>
      </c>
    </row>
    <row r="444" spans="1:5" customFormat="1" hidden="1" x14ac:dyDescent="0.25">
      <c r="A444" s="31">
        <v>5</v>
      </c>
      <c r="B444" s="32" t="s">
        <v>38</v>
      </c>
      <c r="C444" s="32" t="s">
        <v>580</v>
      </c>
      <c r="D444" s="32" t="s">
        <v>581</v>
      </c>
    </row>
    <row r="445" spans="1:5" customFormat="1" hidden="1" x14ac:dyDescent="0.25">
      <c r="A445" s="31">
        <v>5</v>
      </c>
      <c r="B445" s="32" t="s">
        <v>30</v>
      </c>
      <c r="C445" s="32" t="s">
        <v>582</v>
      </c>
      <c r="D445" s="32" t="s">
        <v>285</v>
      </c>
    </row>
    <row r="446" spans="1:5" customFormat="1" hidden="1" x14ac:dyDescent="0.25">
      <c r="A446" s="31">
        <v>5</v>
      </c>
      <c r="B446" s="32" t="s">
        <v>30</v>
      </c>
      <c r="C446" s="32" t="s">
        <v>583</v>
      </c>
      <c r="D446" s="32" t="s">
        <v>162</v>
      </c>
    </row>
    <row r="447" spans="1:5" customFormat="1" hidden="1" x14ac:dyDescent="0.25">
      <c r="A447" s="31">
        <v>5</v>
      </c>
      <c r="B447" s="32" t="s">
        <v>41</v>
      </c>
      <c r="C447" s="32" t="s">
        <v>584</v>
      </c>
      <c r="D447" s="32" t="s">
        <v>224</v>
      </c>
    </row>
    <row r="448" spans="1:5" customFormat="1" hidden="1" x14ac:dyDescent="0.25">
      <c r="A448" s="31">
        <v>5</v>
      </c>
      <c r="B448" s="32" t="s">
        <v>35</v>
      </c>
      <c r="C448" s="32" t="s">
        <v>585</v>
      </c>
      <c r="D448" s="32" t="s">
        <v>586</v>
      </c>
    </row>
    <row r="449" spans="1:4" customFormat="1" hidden="1" x14ac:dyDescent="0.25">
      <c r="A449" s="31">
        <v>5</v>
      </c>
      <c r="B449" s="32" t="s">
        <v>33</v>
      </c>
      <c r="C449" s="32" t="s">
        <v>587</v>
      </c>
      <c r="D449" s="32" t="s">
        <v>588</v>
      </c>
    </row>
    <row r="450" spans="1:4" customFormat="1" hidden="1" x14ac:dyDescent="0.25">
      <c r="A450" s="31">
        <v>5</v>
      </c>
      <c r="B450" s="32" t="s">
        <v>41</v>
      </c>
      <c r="C450" s="32" t="s">
        <v>589</v>
      </c>
      <c r="D450" s="32" t="s">
        <v>590</v>
      </c>
    </row>
    <row r="451" spans="1:4" customFormat="1" hidden="1" x14ac:dyDescent="0.25">
      <c r="A451" s="31">
        <v>5</v>
      </c>
      <c r="B451" s="32" t="s">
        <v>41</v>
      </c>
      <c r="C451" s="32" t="s">
        <v>591</v>
      </c>
      <c r="D451" s="32" t="s">
        <v>592</v>
      </c>
    </row>
    <row r="452" spans="1:4" customFormat="1" hidden="1" x14ac:dyDescent="0.25">
      <c r="A452" s="31">
        <v>5</v>
      </c>
      <c r="B452" s="32" t="s">
        <v>31</v>
      </c>
      <c r="C452" s="32" t="s">
        <v>593</v>
      </c>
      <c r="D452" s="32" t="s">
        <v>594</v>
      </c>
    </row>
    <row r="453" spans="1:4" customFormat="1" hidden="1" x14ac:dyDescent="0.25">
      <c r="A453" s="31">
        <v>5</v>
      </c>
      <c r="B453" s="32" t="s">
        <v>38</v>
      </c>
      <c r="C453" s="32" t="s">
        <v>595</v>
      </c>
      <c r="D453" s="32" t="s">
        <v>596</v>
      </c>
    </row>
    <row r="454" spans="1:4" customFormat="1" hidden="1" x14ac:dyDescent="0.25">
      <c r="A454" s="31">
        <v>5</v>
      </c>
      <c r="B454" s="32" t="s">
        <v>36</v>
      </c>
      <c r="C454" s="32" t="s">
        <v>597</v>
      </c>
      <c r="D454" s="32" t="s">
        <v>598</v>
      </c>
    </row>
    <row r="455" spans="1:4" customFormat="1" hidden="1" x14ac:dyDescent="0.25">
      <c r="A455" s="31">
        <v>5</v>
      </c>
      <c r="B455" s="32" t="s">
        <v>29</v>
      </c>
      <c r="C455" s="32" t="s">
        <v>599</v>
      </c>
      <c r="D455" s="32" t="s">
        <v>171</v>
      </c>
    </row>
    <row r="456" spans="1:4" customFormat="1" hidden="1" x14ac:dyDescent="0.25">
      <c r="A456" s="31">
        <v>5</v>
      </c>
      <c r="B456" s="32" t="s">
        <v>40</v>
      </c>
      <c r="C456" s="32" t="s">
        <v>600</v>
      </c>
      <c r="D456" s="32" t="s">
        <v>601</v>
      </c>
    </row>
    <row r="457" spans="1:4" customFormat="1" hidden="1" x14ac:dyDescent="0.25">
      <c r="A457" s="31">
        <v>5</v>
      </c>
      <c r="B457" s="32" t="s">
        <v>33</v>
      </c>
      <c r="C457" s="32" t="s">
        <v>602</v>
      </c>
      <c r="D457" s="32" t="s">
        <v>603</v>
      </c>
    </row>
    <row r="458" spans="1:4" customFormat="1" hidden="1" x14ac:dyDescent="0.25">
      <c r="A458" s="31">
        <v>5</v>
      </c>
      <c r="B458" s="32" t="s">
        <v>37</v>
      </c>
      <c r="C458" s="32" t="s">
        <v>604</v>
      </c>
      <c r="D458" s="32" t="s">
        <v>423</v>
      </c>
    </row>
    <row r="459" spans="1:4" customFormat="1" hidden="1" x14ac:dyDescent="0.25">
      <c r="A459" s="31">
        <v>5</v>
      </c>
      <c r="B459" s="32" t="s">
        <v>38</v>
      </c>
      <c r="C459" s="32" t="s">
        <v>605</v>
      </c>
      <c r="D459" s="32" t="s">
        <v>606</v>
      </c>
    </row>
    <row r="460" spans="1:4" customFormat="1" hidden="1" x14ac:dyDescent="0.25">
      <c r="A460" s="31">
        <v>5</v>
      </c>
      <c r="B460" s="32" t="s">
        <v>41</v>
      </c>
      <c r="C460" s="32" t="s">
        <v>607</v>
      </c>
      <c r="D460" s="32" t="s">
        <v>608</v>
      </c>
    </row>
    <row r="461" spans="1:4" customFormat="1" hidden="1" x14ac:dyDescent="0.25">
      <c r="A461" s="31">
        <v>5</v>
      </c>
      <c r="B461" s="32" t="s">
        <v>38</v>
      </c>
      <c r="C461" s="32" t="s">
        <v>609</v>
      </c>
      <c r="D461" s="32" t="s">
        <v>610</v>
      </c>
    </row>
    <row r="462" spans="1:4" customFormat="1" hidden="1" x14ac:dyDescent="0.25">
      <c r="A462" s="31">
        <v>5</v>
      </c>
      <c r="B462" s="32" t="s">
        <v>29</v>
      </c>
      <c r="C462" s="32" t="s">
        <v>611</v>
      </c>
      <c r="D462" s="32" t="s">
        <v>612</v>
      </c>
    </row>
    <row r="463" spans="1:4" customFormat="1" hidden="1" x14ac:dyDescent="0.25">
      <c r="A463" s="31">
        <v>5</v>
      </c>
      <c r="B463" s="32" t="s">
        <v>37</v>
      </c>
      <c r="C463" s="32" t="s">
        <v>613</v>
      </c>
      <c r="D463" s="32" t="s">
        <v>614</v>
      </c>
    </row>
    <row r="464" spans="1:4" customFormat="1" hidden="1" x14ac:dyDescent="0.25">
      <c r="A464" s="31">
        <v>5</v>
      </c>
      <c r="B464" s="32" t="s">
        <v>37</v>
      </c>
      <c r="C464" s="32" t="s">
        <v>615</v>
      </c>
      <c r="D464" s="32" t="s">
        <v>616</v>
      </c>
    </row>
    <row r="465" spans="1:4" customFormat="1" hidden="1" x14ac:dyDescent="0.25">
      <c r="A465" s="31">
        <v>5</v>
      </c>
      <c r="B465" s="32" t="s">
        <v>34</v>
      </c>
      <c r="C465" s="32" t="s">
        <v>617</v>
      </c>
      <c r="D465" s="32" t="s">
        <v>618</v>
      </c>
    </row>
    <row r="466" spans="1:4" customFormat="1" hidden="1" x14ac:dyDescent="0.25">
      <c r="A466" s="31">
        <v>5</v>
      </c>
      <c r="B466" s="32" t="s">
        <v>38</v>
      </c>
      <c r="C466" s="32" t="s">
        <v>619</v>
      </c>
      <c r="D466" s="32" t="s">
        <v>620</v>
      </c>
    </row>
    <row r="467" spans="1:4" customFormat="1" hidden="1" x14ac:dyDescent="0.25">
      <c r="A467" s="31">
        <v>5</v>
      </c>
      <c r="B467" s="32" t="s">
        <v>91</v>
      </c>
      <c r="C467" s="32" t="s">
        <v>621</v>
      </c>
      <c r="D467" s="32" t="s">
        <v>622</v>
      </c>
    </row>
    <row r="468" spans="1:4" customFormat="1" hidden="1" x14ac:dyDescent="0.25">
      <c r="A468" s="31">
        <v>5</v>
      </c>
      <c r="B468" s="32" t="s">
        <v>36</v>
      </c>
      <c r="C468" s="32" t="s">
        <v>623</v>
      </c>
      <c r="D468" s="32" t="s">
        <v>624</v>
      </c>
    </row>
    <row r="469" spans="1:4" customFormat="1" hidden="1" x14ac:dyDescent="0.25">
      <c r="A469" s="31">
        <v>5</v>
      </c>
      <c r="B469" s="32" t="s">
        <v>37</v>
      </c>
      <c r="C469" s="32" t="s">
        <v>625</v>
      </c>
      <c r="D469" s="32" t="s">
        <v>255</v>
      </c>
    </row>
    <row r="470" spans="1:4" customFormat="1" hidden="1" x14ac:dyDescent="0.25">
      <c r="A470" s="31">
        <v>5</v>
      </c>
      <c r="B470" s="32" t="s">
        <v>33</v>
      </c>
      <c r="C470" s="32" t="s">
        <v>626</v>
      </c>
      <c r="D470" s="32" t="s">
        <v>627</v>
      </c>
    </row>
    <row r="471" spans="1:4" customFormat="1" hidden="1" x14ac:dyDescent="0.25">
      <c r="A471" s="31">
        <v>5</v>
      </c>
      <c r="B471" s="32" t="s">
        <v>33</v>
      </c>
      <c r="C471" s="32" t="s">
        <v>628</v>
      </c>
      <c r="D471" s="32" t="s">
        <v>627</v>
      </c>
    </row>
    <row r="472" spans="1:4" customFormat="1" hidden="1" x14ac:dyDescent="0.25">
      <c r="A472" s="31">
        <v>5</v>
      </c>
      <c r="B472" s="32" t="s">
        <v>33</v>
      </c>
      <c r="C472" s="32" t="s">
        <v>629</v>
      </c>
      <c r="D472" s="32" t="s">
        <v>630</v>
      </c>
    </row>
    <row r="473" spans="1:4" customFormat="1" hidden="1" x14ac:dyDescent="0.25">
      <c r="A473" s="31">
        <v>5</v>
      </c>
      <c r="B473" s="32" t="s">
        <v>33</v>
      </c>
      <c r="C473" s="32" t="s">
        <v>631</v>
      </c>
      <c r="D473" s="32" t="s">
        <v>630</v>
      </c>
    </row>
    <row r="474" spans="1:4" customFormat="1" hidden="1" x14ac:dyDescent="0.25">
      <c r="A474" s="31">
        <v>5</v>
      </c>
      <c r="B474" s="32" t="s">
        <v>41</v>
      </c>
      <c r="C474" s="32" t="s">
        <v>591</v>
      </c>
      <c r="D474" s="32" t="s">
        <v>260</v>
      </c>
    </row>
    <row r="475" spans="1:4" customFormat="1" hidden="1" x14ac:dyDescent="0.25">
      <c r="A475" s="31">
        <v>5</v>
      </c>
      <c r="B475" s="32" t="s">
        <v>40</v>
      </c>
      <c r="C475" s="32" t="s">
        <v>600</v>
      </c>
      <c r="D475" s="32" t="s">
        <v>326</v>
      </c>
    </row>
    <row r="476" spans="1:4" customFormat="1" hidden="1" x14ac:dyDescent="0.25">
      <c r="A476" s="31">
        <v>5</v>
      </c>
      <c r="B476" s="32" t="s">
        <v>38</v>
      </c>
      <c r="C476" s="32" t="s">
        <v>605</v>
      </c>
      <c r="D476" s="32" t="s">
        <v>484</v>
      </c>
    </row>
    <row r="477" spans="1:4" customFormat="1" hidden="1" x14ac:dyDescent="0.25">
      <c r="A477" s="31">
        <v>5</v>
      </c>
      <c r="B477" s="32" t="s">
        <v>29</v>
      </c>
      <c r="C477" s="32" t="s">
        <v>611</v>
      </c>
      <c r="D477" s="32" t="s">
        <v>632</v>
      </c>
    </row>
    <row r="478" spans="1:4" customFormat="1" hidden="1" x14ac:dyDescent="0.25">
      <c r="A478" s="31">
        <v>5</v>
      </c>
      <c r="B478" s="32" t="s">
        <v>33</v>
      </c>
      <c r="C478" s="32" t="s">
        <v>629</v>
      </c>
      <c r="D478" s="32" t="s">
        <v>385</v>
      </c>
    </row>
    <row r="479" spans="1:4" customFormat="1" hidden="1" x14ac:dyDescent="0.25">
      <c r="A479" s="31">
        <v>5</v>
      </c>
      <c r="B479" s="32" t="s">
        <v>33</v>
      </c>
      <c r="C479" s="32" t="s">
        <v>628</v>
      </c>
      <c r="D479" s="32" t="s">
        <v>118</v>
      </c>
    </row>
    <row r="480" spans="1:4" customFormat="1" hidden="1" x14ac:dyDescent="0.25">
      <c r="A480" s="31">
        <v>5</v>
      </c>
      <c r="B480" s="32" t="s">
        <v>30</v>
      </c>
      <c r="C480" s="32" t="s">
        <v>573</v>
      </c>
      <c r="D480" s="32" t="s">
        <v>182</v>
      </c>
    </row>
    <row r="481" spans="1:5" customFormat="1" hidden="1" x14ac:dyDescent="0.25">
      <c r="A481" s="31">
        <v>5</v>
      </c>
      <c r="B481" s="32" t="s">
        <v>36</v>
      </c>
      <c r="C481" s="32" t="s">
        <v>597</v>
      </c>
      <c r="D481" s="32" t="s">
        <v>182</v>
      </c>
    </row>
    <row r="482" spans="1:5" customFormat="1" hidden="1" x14ac:dyDescent="0.25">
      <c r="A482" s="31">
        <v>5</v>
      </c>
      <c r="B482" s="32" t="s">
        <v>36</v>
      </c>
      <c r="C482" s="32" t="s">
        <v>633</v>
      </c>
      <c r="D482" s="32" t="s">
        <v>330</v>
      </c>
    </row>
    <row r="483" spans="1:5" customFormat="1" hidden="1" x14ac:dyDescent="0.25">
      <c r="A483" s="31">
        <v>5</v>
      </c>
      <c r="B483" s="32" t="s">
        <v>30</v>
      </c>
      <c r="C483" s="32" t="s">
        <v>582</v>
      </c>
      <c r="D483" s="32" t="s">
        <v>386</v>
      </c>
    </row>
    <row r="484" spans="1:5" customFormat="1" hidden="1" x14ac:dyDescent="0.25">
      <c r="A484" s="31">
        <v>5</v>
      </c>
      <c r="B484" s="32" t="s">
        <v>30</v>
      </c>
      <c r="C484" s="32" t="s">
        <v>583</v>
      </c>
      <c r="D484" s="32" t="s">
        <v>189</v>
      </c>
    </row>
    <row r="485" spans="1:5" customFormat="1" hidden="1" x14ac:dyDescent="0.25">
      <c r="A485" s="31">
        <v>5</v>
      </c>
      <c r="B485" s="32" t="s">
        <v>91</v>
      </c>
      <c r="C485" s="32" t="s">
        <v>621</v>
      </c>
      <c r="D485" s="32" t="s">
        <v>190</v>
      </c>
    </row>
    <row r="486" spans="1:5" customFormat="1" hidden="1" x14ac:dyDescent="0.25">
      <c r="A486" s="31">
        <v>5</v>
      </c>
      <c r="B486" s="32" t="s">
        <v>33</v>
      </c>
      <c r="C486" s="32" t="s">
        <v>626</v>
      </c>
      <c r="D486" s="32" t="s">
        <v>269</v>
      </c>
    </row>
    <row r="487" spans="1:5" customFormat="1" hidden="1" x14ac:dyDescent="0.25">
      <c r="A487" s="31">
        <v>5</v>
      </c>
      <c r="B487" s="32" t="s">
        <v>33</v>
      </c>
      <c r="C487" s="32" t="s">
        <v>631</v>
      </c>
      <c r="D487" s="32" t="s">
        <v>134</v>
      </c>
    </row>
    <row r="488" spans="1:5" customFormat="1" hidden="1" x14ac:dyDescent="0.25">
      <c r="A488" s="31">
        <v>6</v>
      </c>
      <c r="B488" s="32" t="s">
        <v>35</v>
      </c>
      <c r="C488" s="32" t="s">
        <v>634</v>
      </c>
      <c r="D488" s="32" t="s">
        <v>542</v>
      </c>
      <c r="E488" s="32" t="s">
        <v>143</v>
      </c>
    </row>
    <row r="489" spans="1:5" customFormat="1" hidden="1" x14ac:dyDescent="0.25">
      <c r="A489" s="31">
        <v>6</v>
      </c>
      <c r="B489" s="32" t="s">
        <v>35</v>
      </c>
      <c r="C489" s="32" t="s">
        <v>635</v>
      </c>
      <c r="D489" s="32" t="s">
        <v>195</v>
      </c>
      <c r="E489" s="32" t="s">
        <v>143</v>
      </c>
    </row>
    <row r="490" spans="1:5" customFormat="1" hidden="1" x14ac:dyDescent="0.25">
      <c r="A490" s="31">
        <v>6</v>
      </c>
      <c r="B490" s="32" t="s">
        <v>36</v>
      </c>
      <c r="C490" s="32" t="s">
        <v>636</v>
      </c>
      <c r="D490" s="32" t="s">
        <v>637</v>
      </c>
    </row>
    <row r="491" spans="1:5" customFormat="1" hidden="1" x14ac:dyDescent="0.25">
      <c r="A491" s="31">
        <v>6</v>
      </c>
      <c r="B491" s="32" t="s">
        <v>38</v>
      </c>
      <c r="C491" s="32" t="s">
        <v>638</v>
      </c>
      <c r="D491" s="32" t="s">
        <v>639</v>
      </c>
    </row>
    <row r="492" spans="1:5" customFormat="1" hidden="1" x14ac:dyDescent="0.25">
      <c r="A492" s="31">
        <v>6</v>
      </c>
      <c r="B492" s="32" t="s">
        <v>37</v>
      </c>
      <c r="C492" s="32" t="s">
        <v>640</v>
      </c>
      <c r="D492" s="32" t="s">
        <v>148</v>
      </c>
    </row>
    <row r="493" spans="1:5" customFormat="1" hidden="1" x14ac:dyDescent="0.25">
      <c r="A493" s="31">
        <v>6</v>
      </c>
      <c r="B493" s="32" t="s">
        <v>30</v>
      </c>
      <c r="C493" s="32" t="s">
        <v>641</v>
      </c>
      <c r="D493" s="32" t="s">
        <v>85</v>
      </c>
    </row>
    <row r="494" spans="1:5" customFormat="1" hidden="1" x14ac:dyDescent="0.25">
      <c r="A494" s="31">
        <v>6</v>
      </c>
      <c r="B494" s="32" t="s">
        <v>32</v>
      </c>
      <c r="C494" s="32" t="s">
        <v>642</v>
      </c>
      <c r="D494" s="32" t="s">
        <v>643</v>
      </c>
    </row>
    <row r="495" spans="1:5" customFormat="1" hidden="1" x14ac:dyDescent="0.25">
      <c r="A495" s="31">
        <v>6</v>
      </c>
      <c r="B495" s="32" t="s">
        <v>38</v>
      </c>
      <c r="C495" s="32" t="s">
        <v>644</v>
      </c>
      <c r="D495" s="32" t="s">
        <v>645</v>
      </c>
    </row>
    <row r="496" spans="1:5" customFormat="1" hidden="1" x14ac:dyDescent="0.25">
      <c r="A496" s="31">
        <v>6</v>
      </c>
      <c r="B496" s="32" t="s">
        <v>37</v>
      </c>
      <c r="C496" s="32" t="s">
        <v>646</v>
      </c>
      <c r="D496" s="32" t="s">
        <v>364</v>
      </c>
    </row>
    <row r="497" spans="1:4" customFormat="1" hidden="1" x14ac:dyDescent="0.25">
      <c r="A497" s="31">
        <v>6</v>
      </c>
      <c r="B497" s="32" t="s">
        <v>33</v>
      </c>
      <c r="C497" s="32" t="s">
        <v>647</v>
      </c>
      <c r="D497" s="32" t="s">
        <v>648</v>
      </c>
    </row>
    <row r="498" spans="1:4" customFormat="1" hidden="1" x14ac:dyDescent="0.25">
      <c r="A498" s="31">
        <v>6</v>
      </c>
      <c r="B498" s="32" t="s">
        <v>37</v>
      </c>
      <c r="C498" s="32" t="s">
        <v>649</v>
      </c>
      <c r="D498" s="32" t="s">
        <v>650</v>
      </c>
    </row>
    <row r="499" spans="1:4" customFormat="1" hidden="1" x14ac:dyDescent="0.25">
      <c r="A499" s="31">
        <v>6</v>
      </c>
      <c r="B499" s="32" t="s">
        <v>37</v>
      </c>
      <c r="C499" s="32" t="s">
        <v>651</v>
      </c>
      <c r="D499" s="32" t="s">
        <v>466</v>
      </c>
    </row>
    <row r="500" spans="1:4" customFormat="1" hidden="1" x14ac:dyDescent="0.25">
      <c r="A500" s="31">
        <v>6</v>
      </c>
      <c r="B500" s="32" t="s">
        <v>33</v>
      </c>
      <c r="C500" s="32" t="s">
        <v>652</v>
      </c>
      <c r="D500" s="32" t="s">
        <v>653</v>
      </c>
    </row>
    <row r="501" spans="1:4" customFormat="1" hidden="1" x14ac:dyDescent="0.25">
      <c r="A501" s="31">
        <v>6</v>
      </c>
      <c r="B501" s="32" t="s">
        <v>38</v>
      </c>
      <c r="C501" s="32" t="s">
        <v>654</v>
      </c>
      <c r="D501" s="32" t="s">
        <v>655</v>
      </c>
    </row>
    <row r="502" spans="1:4" customFormat="1" hidden="1" x14ac:dyDescent="0.25">
      <c r="A502" s="31">
        <v>6</v>
      </c>
      <c r="B502" s="32" t="s">
        <v>32</v>
      </c>
      <c r="C502" s="32" t="s">
        <v>656</v>
      </c>
      <c r="D502" s="32" t="s">
        <v>657</v>
      </c>
    </row>
    <row r="503" spans="1:4" customFormat="1" hidden="1" x14ac:dyDescent="0.25">
      <c r="A503" s="31">
        <v>6</v>
      </c>
      <c r="B503" s="32" t="s">
        <v>32</v>
      </c>
      <c r="C503" s="32" t="s">
        <v>658</v>
      </c>
      <c r="D503" s="32" t="s">
        <v>659</v>
      </c>
    </row>
    <row r="504" spans="1:4" customFormat="1" hidden="1" x14ac:dyDescent="0.25">
      <c r="A504" s="31">
        <v>6</v>
      </c>
      <c r="B504" s="32" t="s">
        <v>37</v>
      </c>
      <c r="C504" s="32" t="s">
        <v>640</v>
      </c>
      <c r="D504" s="32" t="s">
        <v>328</v>
      </c>
    </row>
    <row r="505" spans="1:4" customFormat="1" hidden="1" x14ac:dyDescent="0.25">
      <c r="A505" s="31">
        <v>6</v>
      </c>
      <c r="B505" s="32" t="s">
        <v>32</v>
      </c>
      <c r="C505" s="32" t="s">
        <v>642</v>
      </c>
      <c r="D505" s="32" t="s">
        <v>329</v>
      </c>
    </row>
    <row r="506" spans="1:4" customFormat="1" hidden="1" x14ac:dyDescent="0.25">
      <c r="A506" s="31">
        <v>6</v>
      </c>
      <c r="B506" s="32" t="s">
        <v>38</v>
      </c>
      <c r="C506" s="32" t="s">
        <v>644</v>
      </c>
      <c r="D506" s="32" t="s">
        <v>185</v>
      </c>
    </row>
    <row r="507" spans="1:4" customFormat="1" hidden="1" x14ac:dyDescent="0.25">
      <c r="A507" s="31">
        <v>6</v>
      </c>
      <c r="B507" s="32" t="s">
        <v>30</v>
      </c>
      <c r="C507" s="32" t="s">
        <v>641</v>
      </c>
      <c r="D507" s="32" t="s">
        <v>186</v>
      </c>
    </row>
    <row r="508" spans="1:4" customFormat="1" hidden="1" x14ac:dyDescent="0.25">
      <c r="A508" s="31">
        <v>6</v>
      </c>
      <c r="B508" s="32" t="s">
        <v>36</v>
      </c>
      <c r="C508" s="32" t="s">
        <v>636</v>
      </c>
      <c r="D508" s="32" t="s">
        <v>135</v>
      </c>
    </row>
    <row r="509" spans="1:4" customFormat="1" hidden="1" x14ac:dyDescent="0.25">
      <c r="A509" s="31">
        <v>6</v>
      </c>
      <c r="B509" s="32" t="s">
        <v>38</v>
      </c>
      <c r="C509" s="32" t="s">
        <v>638</v>
      </c>
      <c r="D509" s="32" t="s">
        <v>137</v>
      </c>
    </row>
    <row r="510" spans="1:4" customFormat="1" hidden="1" x14ac:dyDescent="0.25">
      <c r="A510" s="31">
        <v>7</v>
      </c>
      <c r="B510" s="32" t="s">
        <v>32</v>
      </c>
      <c r="C510" s="32" t="s">
        <v>660</v>
      </c>
      <c r="D510" s="32" t="s">
        <v>392</v>
      </c>
    </row>
    <row r="511" spans="1:4" customFormat="1" hidden="1" x14ac:dyDescent="0.25">
      <c r="A511" s="31">
        <v>7</v>
      </c>
      <c r="B511" s="32" t="s">
        <v>30</v>
      </c>
      <c r="C511" s="32" t="s">
        <v>661</v>
      </c>
      <c r="D511" s="32" t="s">
        <v>214</v>
      </c>
    </row>
    <row r="512" spans="1:4" customFormat="1" hidden="1" x14ac:dyDescent="0.25">
      <c r="A512" s="31">
        <v>7</v>
      </c>
      <c r="B512" s="32" t="s">
        <v>38</v>
      </c>
      <c r="C512" s="32" t="s">
        <v>662</v>
      </c>
      <c r="D512" s="32" t="s">
        <v>663</v>
      </c>
    </row>
    <row r="513" spans="1:5" customFormat="1" hidden="1" x14ac:dyDescent="0.25">
      <c r="A513" s="31">
        <v>7</v>
      </c>
      <c r="B513" s="32" t="s">
        <v>29</v>
      </c>
      <c r="C513" s="32" t="s">
        <v>664</v>
      </c>
      <c r="D513" s="32" t="s">
        <v>171</v>
      </c>
    </row>
    <row r="514" spans="1:5" customFormat="1" hidden="1" x14ac:dyDescent="0.25">
      <c r="A514" s="31">
        <v>7</v>
      </c>
      <c r="B514" s="32" t="s">
        <v>91</v>
      </c>
      <c r="C514" s="32" t="s">
        <v>665</v>
      </c>
      <c r="D514" s="32" t="s">
        <v>666</v>
      </c>
    </row>
    <row r="515" spans="1:5" customFormat="1" hidden="1" x14ac:dyDescent="0.25">
      <c r="A515" s="31">
        <v>7</v>
      </c>
      <c r="B515" s="32" t="s">
        <v>36</v>
      </c>
      <c r="C515" s="32" t="s">
        <v>667</v>
      </c>
      <c r="D515" s="32" t="s">
        <v>668</v>
      </c>
    </row>
    <row r="516" spans="1:5" customFormat="1" hidden="1" x14ac:dyDescent="0.25">
      <c r="A516" s="31">
        <v>7</v>
      </c>
      <c r="B516" s="32" t="s">
        <v>29</v>
      </c>
      <c r="C516" s="32" t="s">
        <v>669</v>
      </c>
      <c r="D516" s="32" t="s">
        <v>670</v>
      </c>
    </row>
    <row r="517" spans="1:5" customFormat="1" hidden="1" x14ac:dyDescent="0.25">
      <c r="A517" s="31">
        <v>7</v>
      </c>
      <c r="B517" s="32" t="s">
        <v>38</v>
      </c>
      <c r="C517" s="32" t="s">
        <v>671</v>
      </c>
      <c r="D517" s="32" t="s">
        <v>463</v>
      </c>
    </row>
    <row r="518" spans="1:5" customFormat="1" hidden="1" x14ac:dyDescent="0.25">
      <c r="A518" s="31">
        <v>7</v>
      </c>
      <c r="B518" s="32" t="s">
        <v>36</v>
      </c>
      <c r="C518" s="32" t="s">
        <v>672</v>
      </c>
      <c r="D518" s="32" t="s">
        <v>673</v>
      </c>
    </row>
    <row r="519" spans="1:5" customFormat="1" hidden="1" x14ac:dyDescent="0.25">
      <c r="A519" s="31">
        <v>7</v>
      </c>
      <c r="B519" s="32" t="s">
        <v>37</v>
      </c>
      <c r="C519" s="32" t="s">
        <v>674</v>
      </c>
      <c r="D519" s="32" t="s">
        <v>675</v>
      </c>
    </row>
    <row r="520" spans="1:5" customFormat="1" hidden="1" x14ac:dyDescent="0.25">
      <c r="A520" s="31">
        <v>7</v>
      </c>
      <c r="B520" s="32" t="s">
        <v>32</v>
      </c>
      <c r="C520" s="32" t="s">
        <v>676</v>
      </c>
      <c r="D520" s="32" t="s">
        <v>677</v>
      </c>
    </row>
    <row r="521" spans="1:5" customFormat="1" hidden="1" x14ac:dyDescent="0.25">
      <c r="A521" s="31">
        <v>7</v>
      </c>
      <c r="B521" s="32" t="s">
        <v>36</v>
      </c>
      <c r="C521" s="32" t="s">
        <v>672</v>
      </c>
      <c r="D521" s="32" t="s">
        <v>678</v>
      </c>
    </row>
    <row r="522" spans="1:5" customFormat="1" hidden="1" x14ac:dyDescent="0.25">
      <c r="A522" s="31">
        <v>7</v>
      </c>
      <c r="B522" s="32" t="s">
        <v>30</v>
      </c>
      <c r="C522" s="32" t="s">
        <v>661</v>
      </c>
      <c r="D522" s="32" t="s">
        <v>388</v>
      </c>
    </row>
    <row r="523" spans="1:5" customFormat="1" hidden="1" x14ac:dyDescent="0.25">
      <c r="A523" s="31">
        <v>8</v>
      </c>
      <c r="B523" s="32" t="s">
        <v>32</v>
      </c>
      <c r="C523" s="32" t="s">
        <v>679</v>
      </c>
      <c r="D523" s="32" t="s">
        <v>680</v>
      </c>
    </row>
    <row r="524" spans="1:5" customFormat="1" hidden="1" x14ac:dyDescent="0.25">
      <c r="A524" s="31">
        <v>8</v>
      </c>
      <c r="B524" s="32" t="s">
        <v>30</v>
      </c>
      <c r="C524" s="32" t="s">
        <v>681</v>
      </c>
      <c r="D524" s="32" t="s">
        <v>193</v>
      </c>
    </row>
    <row r="525" spans="1:5" customFormat="1" hidden="1" x14ac:dyDescent="0.25">
      <c r="A525" s="31">
        <v>8</v>
      </c>
      <c r="B525" s="32" t="s">
        <v>35</v>
      </c>
      <c r="C525" s="32" t="s">
        <v>682</v>
      </c>
      <c r="D525" s="32" t="s">
        <v>683</v>
      </c>
      <c r="E525" s="32" t="s">
        <v>52</v>
      </c>
    </row>
    <row r="526" spans="1:5" customFormat="1" hidden="1" x14ac:dyDescent="0.25">
      <c r="A526" s="31">
        <v>8</v>
      </c>
      <c r="B526" s="32" t="s">
        <v>35</v>
      </c>
      <c r="C526" s="32" t="s">
        <v>684</v>
      </c>
      <c r="D526" s="32" t="s">
        <v>142</v>
      </c>
      <c r="E526" s="32" t="s">
        <v>143</v>
      </c>
    </row>
    <row r="527" spans="1:5" customFormat="1" hidden="1" x14ac:dyDescent="0.25">
      <c r="A527" s="31">
        <v>8</v>
      </c>
      <c r="B527" s="32" t="s">
        <v>29</v>
      </c>
      <c r="C527" s="32" t="s">
        <v>685</v>
      </c>
      <c r="D527" s="32" t="s">
        <v>686</v>
      </c>
    </row>
    <row r="528" spans="1:5" customFormat="1" hidden="1" x14ac:dyDescent="0.25">
      <c r="A528" s="31">
        <v>8</v>
      </c>
      <c r="B528" s="32" t="s">
        <v>37</v>
      </c>
      <c r="C528" s="32" t="s">
        <v>687</v>
      </c>
      <c r="D528" s="32" t="s">
        <v>149</v>
      </c>
    </row>
    <row r="529" spans="1:5" customFormat="1" hidden="1" x14ac:dyDescent="0.25">
      <c r="A529" s="31">
        <v>8</v>
      </c>
      <c r="B529" s="32" t="s">
        <v>29</v>
      </c>
      <c r="C529" s="32" t="s">
        <v>688</v>
      </c>
      <c r="D529" s="32" t="s">
        <v>689</v>
      </c>
    </row>
    <row r="530" spans="1:5" customFormat="1" hidden="1" x14ac:dyDescent="0.25">
      <c r="A530" s="31">
        <v>8</v>
      </c>
      <c r="B530" s="32" t="s">
        <v>38</v>
      </c>
      <c r="C530" s="32" t="s">
        <v>690</v>
      </c>
      <c r="D530" s="32" t="s">
        <v>691</v>
      </c>
    </row>
    <row r="531" spans="1:5" customFormat="1" hidden="1" x14ac:dyDescent="0.25">
      <c r="A531" s="31">
        <v>8</v>
      </c>
      <c r="B531" s="32" t="s">
        <v>38</v>
      </c>
      <c r="C531" s="32" t="s">
        <v>692</v>
      </c>
      <c r="D531" s="32" t="s">
        <v>693</v>
      </c>
    </row>
    <row r="532" spans="1:5" customFormat="1" hidden="1" x14ac:dyDescent="0.25">
      <c r="A532" s="31">
        <v>8</v>
      </c>
      <c r="B532" s="32" t="s">
        <v>37</v>
      </c>
      <c r="C532" s="32" t="s">
        <v>694</v>
      </c>
      <c r="D532" s="32" t="s">
        <v>535</v>
      </c>
    </row>
    <row r="533" spans="1:5" customFormat="1" hidden="1" x14ac:dyDescent="0.25">
      <c r="A533" s="31">
        <v>8</v>
      </c>
      <c r="B533" s="32" t="s">
        <v>36</v>
      </c>
      <c r="C533" s="32" t="s">
        <v>695</v>
      </c>
      <c r="D533" s="32" t="s">
        <v>624</v>
      </c>
    </row>
    <row r="534" spans="1:5" customFormat="1" hidden="1" x14ac:dyDescent="0.25">
      <c r="A534" s="31">
        <v>8</v>
      </c>
      <c r="B534" s="32" t="s">
        <v>36</v>
      </c>
      <c r="C534" s="32" t="s">
        <v>696</v>
      </c>
      <c r="D534" s="32" t="s">
        <v>697</v>
      </c>
    </row>
    <row r="535" spans="1:5" customFormat="1" hidden="1" x14ac:dyDescent="0.25">
      <c r="A535" s="31">
        <v>8</v>
      </c>
      <c r="B535" s="32" t="s">
        <v>37</v>
      </c>
      <c r="C535" s="32" t="s">
        <v>698</v>
      </c>
      <c r="D535" s="32" t="s">
        <v>675</v>
      </c>
    </row>
    <row r="536" spans="1:5" customFormat="1" hidden="1" x14ac:dyDescent="0.25">
      <c r="A536" s="31">
        <v>8</v>
      </c>
      <c r="B536" s="32" t="s">
        <v>32</v>
      </c>
      <c r="C536" s="32" t="s">
        <v>699</v>
      </c>
      <c r="D536" s="32" t="s">
        <v>700</v>
      </c>
    </row>
    <row r="537" spans="1:5" customFormat="1" hidden="1" x14ac:dyDescent="0.25">
      <c r="A537" s="31">
        <v>8</v>
      </c>
      <c r="B537" s="32" t="s">
        <v>37</v>
      </c>
      <c r="C537" s="32" t="s">
        <v>687</v>
      </c>
      <c r="D537" s="32" t="s">
        <v>701</v>
      </c>
    </row>
    <row r="538" spans="1:5" customFormat="1" hidden="1" x14ac:dyDescent="0.25">
      <c r="A538" s="31">
        <v>8</v>
      </c>
      <c r="B538" s="32" t="s">
        <v>32</v>
      </c>
      <c r="C538" s="32" t="s">
        <v>679</v>
      </c>
      <c r="D538" s="32" t="s">
        <v>263</v>
      </c>
    </row>
    <row r="539" spans="1:5" customFormat="1" hidden="1" x14ac:dyDescent="0.25">
      <c r="A539" s="31">
        <v>8</v>
      </c>
      <c r="B539" s="32" t="s">
        <v>30</v>
      </c>
      <c r="C539" s="32" t="s">
        <v>681</v>
      </c>
      <c r="D539" s="32" t="s">
        <v>119</v>
      </c>
    </row>
    <row r="540" spans="1:5" customFormat="1" hidden="1" x14ac:dyDescent="0.25">
      <c r="A540" s="31">
        <v>8</v>
      </c>
      <c r="B540" s="32" t="s">
        <v>38</v>
      </c>
      <c r="C540" s="32" t="s">
        <v>692</v>
      </c>
      <c r="D540" s="32" t="s">
        <v>129</v>
      </c>
    </row>
    <row r="541" spans="1:5" customFormat="1" hidden="1" x14ac:dyDescent="0.25">
      <c r="A541" s="31">
        <v>8</v>
      </c>
      <c r="B541" s="32" t="s">
        <v>36</v>
      </c>
      <c r="C541" s="32" t="s">
        <v>695</v>
      </c>
      <c r="D541" s="32" t="s">
        <v>133</v>
      </c>
    </row>
    <row r="542" spans="1:5" customFormat="1" hidden="1" x14ac:dyDescent="0.25">
      <c r="A542" s="31">
        <v>9</v>
      </c>
      <c r="B542" s="32" t="s">
        <v>32</v>
      </c>
      <c r="C542" s="32" t="s">
        <v>702</v>
      </c>
      <c r="D542" s="32" t="s">
        <v>487</v>
      </c>
    </row>
    <row r="543" spans="1:5" customFormat="1" hidden="1" x14ac:dyDescent="0.25">
      <c r="A543" s="31">
        <v>9</v>
      </c>
      <c r="B543" s="32" t="s">
        <v>35</v>
      </c>
      <c r="C543" s="32" t="s">
        <v>703</v>
      </c>
      <c r="D543" s="32" t="s">
        <v>704</v>
      </c>
      <c r="E543" s="32" t="s">
        <v>52</v>
      </c>
    </row>
    <row r="544" spans="1:5" customFormat="1" hidden="1" x14ac:dyDescent="0.25">
      <c r="A544" s="31">
        <v>9</v>
      </c>
      <c r="B544" s="32" t="s">
        <v>35</v>
      </c>
      <c r="C544" s="32" t="s">
        <v>705</v>
      </c>
      <c r="D544" s="32" t="s">
        <v>706</v>
      </c>
      <c r="E544" s="32" t="s">
        <v>143</v>
      </c>
    </row>
    <row r="545" spans="1:5" customFormat="1" hidden="1" x14ac:dyDescent="0.25">
      <c r="A545" s="31">
        <v>9</v>
      </c>
      <c r="B545" s="32" t="s">
        <v>35</v>
      </c>
      <c r="C545" s="32" t="s">
        <v>707</v>
      </c>
      <c r="D545" s="32" t="s">
        <v>708</v>
      </c>
    </row>
    <row r="546" spans="1:5" customFormat="1" hidden="1" x14ac:dyDescent="0.25">
      <c r="A546" s="31">
        <v>9</v>
      </c>
      <c r="B546" s="32" t="s">
        <v>38</v>
      </c>
      <c r="C546" s="32" t="s">
        <v>709</v>
      </c>
      <c r="D546" s="32" t="s">
        <v>710</v>
      </c>
    </row>
    <row r="547" spans="1:5" customFormat="1" hidden="1" x14ac:dyDescent="0.25">
      <c r="A547" s="31">
        <v>9</v>
      </c>
      <c r="B547" s="32" t="s">
        <v>40</v>
      </c>
      <c r="C547" s="32" t="s">
        <v>711</v>
      </c>
      <c r="D547" s="32" t="s">
        <v>712</v>
      </c>
    </row>
    <row r="548" spans="1:5" customFormat="1" hidden="1" x14ac:dyDescent="0.25">
      <c r="A548" s="31">
        <v>9</v>
      </c>
      <c r="B548" s="32" t="s">
        <v>29</v>
      </c>
      <c r="C548" s="32" t="s">
        <v>713</v>
      </c>
      <c r="D548" s="32" t="s">
        <v>689</v>
      </c>
    </row>
    <row r="549" spans="1:5" customFormat="1" hidden="1" x14ac:dyDescent="0.25">
      <c r="A549" s="31">
        <v>9</v>
      </c>
      <c r="B549" s="32" t="s">
        <v>91</v>
      </c>
      <c r="C549" s="32" t="s">
        <v>714</v>
      </c>
      <c r="D549" s="32" t="s">
        <v>715</v>
      </c>
    </row>
    <row r="550" spans="1:5" customFormat="1" hidden="1" x14ac:dyDescent="0.25">
      <c r="A550" s="31">
        <v>9</v>
      </c>
      <c r="B550" s="32" t="s">
        <v>36</v>
      </c>
      <c r="C550" s="32" t="s">
        <v>716</v>
      </c>
      <c r="D550" s="32" t="s">
        <v>717</v>
      </c>
    </row>
    <row r="551" spans="1:5" customFormat="1" hidden="1" x14ac:dyDescent="0.25">
      <c r="A551" s="31">
        <v>9</v>
      </c>
      <c r="B551" s="32" t="s">
        <v>36</v>
      </c>
      <c r="C551" s="32" t="s">
        <v>718</v>
      </c>
      <c r="D551" s="32" t="s">
        <v>717</v>
      </c>
    </row>
    <row r="552" spans="1:5" customFormat="1" hidden="1" x14ac:dyDescent="0.25">
      <c r="A552" s="31">
        <v>9</v>
      </c>
      <c r="B552" s="32" t="s">
        <v>32</v>
      </c>
      <c r="C552" s="32" t="s">
        <v>719</v>
      </c>
      <c r="D552" s="32" t="s">
        <v>477</v>
      </c>
    </row>
    <row r="553" spans="1:5" customFormat="1" hidden="1" x14ac:dyDescent="0.25">
      <c r="A553" s="31">
        <v>9</v>
      </c>
      <c r="B553" s="32" t="s">
        <v>36</v>
      </c>
      <c r="C553" s="32" t="s">
        <v>718</v>
      </c>
      <c r="D553" s="32" t="s">
        <v>572</v>
      </c>
    </row>
    <row r="554" spans="1:5" customFormat="1" hidden="1" x14ac:dyDescent="0.25">
      <c r="A554" s="31">
        <v>10</v>
      </c>
      <c r="B554" s="32" t="s">
        <v>32</v>
      </c>
      <c r="C554" s="32" t="s">
        <v>720</v>
      </c>
      <c r="D554" s="32" t="s">
        <v>540</v>
      </c>
    </row>
    <row r="555" spans="1:5" customFormat="1" hidden="1" x14ac:dyDescent="0.25">
      <c r="A555" s="31">
        <v>10</v>
      </c>
      <c r="B555" s="32" t="s">
        <v>35</v>
      </c>
      <c r="C555" s="32" t="s">
        <v>721</v>
      </c>
      <c r="D555" s="32" t="s">
        <v>722</v>
      </c>
      <c r="E555" s="32" t="s">
        <v>143</v>
      </c>
    </row>
    <row r="556" spans="1:5" customFormat="1" hidden="1" x14ac:dyDescent="0.25">
      <c r="A556" s="31">
        <v>10</v>
      </c>
      <c r="B556" s="32" t="s">
        <v>29</v>
      </c>
      <c r="C556" s="32" t="s">
        <v>723</v>
      </c>
      <c r="D556" s="32" t="s">
        <v>724</v>
      </c>
    </row>
    <row r="557" spans="1:5" customFormat="1" hidden="1" x14ac:dyDescent="0.25">
      <c r="A557" s="31">
        <v>10</v>
      </c>
      <c r="B557" s="32" t="s">
        <v>38</v>
      </c>
      <c r="C557" s="32" t="s">
        <v>725</v>
      </c>
      <c r="D557" s="32" t="s">
        <v>691</v>
      </c>
    </row>
    <row r="558" spans="1:5" customFormat="1" hidden="1" x14ac:dyDescent="0.25">
      <c r="A558" s="31">
        <v>10</v>
      </c>
      <c r="B558" s="32" t="s">
        <v>91</v>
      </c>
      <c r="C558" s="32" t="s">
        <v>726</v>
      </c>
      <c r="D558" s="32" t="s">
        <v>727</v>
      </c>
    </row>
    <row r="559" spans="1:5" customFormat="1" hidden="1" x14ac:dyDescent="0.25">
      <c r="A559" s="31">
        <v>10</v>
      </c>
      <c r="B559" s="32" t="s">
        <v>31</v>
      </c>
      <c r="C559" s="32" t="s">
        <v>728</v>
      </c>
      <c r="D559" s="32" t="s">
        <v>729</v>
      </c>
    </row>
    <row r="560" spans="1:5" customFormat="1" hidden="1" x14ac:dyDescent="0.25">
      <c r="A560" s="31">
        <v>10</v>
      </c>
      <c r="B560" s="32" t="s">
        <v>29</v>
      </c>
      <c r="C560" s="32" t="s">
        <v>730</v>
      </c>
      <c r="D560" s="32" t="s">
        <v>731</v>
      </c>
    </row>
    <row r="561" spans="1:5" customFormat="1" hidden="1" x14ac:dyDescent="0.25">
      <c r="A561" s="31">
        <v>10</v>
      </c>
      <c r="B561" s="32" t="s">
        <v>32</v>
      </c>
      <c r="C561" s="32" t="s">
        <v>732</v>
      </c>
      <c r="D561" s="32" t="s">
        <v>537</v>
      </c>
    </row>
    <row r="562" spans="1:5" customFormat="1" hidden="1" x14ac:dyDescent="0.25">
      <c r="A562" s="31">
        <v>10</v>
      </c>
      <c r="B562" s="32" t="s">
        <v>91</v>
      </c>
      <c r="C562" s="32" t="s">
        <v>726</v>
      </c>
      <c r="D562" s="32" t="s">
        <v>266</v>
      </c>
    </row>
    <row r="563" spans="1:5" customFormat="1" hidden="1" x14ac:dyDescent="0.25">
      <c r="A563" s="31">
        <v>11</v>
      </c>
      <c r="B563" s="32" t="s">
        <v>35</v>
      </c>
      <c r="C563" s="32" t="s">
        <v>733</v>
      </c>
      <c r="D563" s="32" t="s">
        <v>734</v>
      </c>
      <c r="E563" s="32" t="s">
        <v>52</v>
      </c>
    </row>
    <row r="564" spans="1:5" customFormat="1" hidden="1" x14ac:dyDescent="0.25">
      <c r="A564" s="31">
        <v>11</v>
      </c>
      <c r="B564" s="32" t="s">
        <v>38</v>
      </c>
      <c r="C564" s="32" t="s">
        <v>735</v>
      </c>
      <c r="D564" s="32" t="s">
        <v>736</v>
      </c>
    </row>
    <row r="565" spans="1:5" customFormat="1" hidden="1" x14ac:dyDescent="0.25">
      <c r="A565" s="31">
        <v>11</v>
      </c>
      <c r="B565" s="32" t="s">
        <v>38</v>
      </c>
      <c r="C565" s="32" t="s">
        <v>737</v>
      </c>
      <c r="D565" s="32" t="s">
        <v>738</v>
      </c>
    </row>
    <row r="566" spans="1:5" customFormat="1" hidden="1" x14ac:dyDescent="0.25">
      <c r="A566" s="31">
        <v>11</v>
      </c>
      <c r="B566" s="32" t="s">
        <v>38</v>
      </c>
      <c r="C566" s="32" t="s">
        <v>739</v>
      </c>
      <c r="D566" s="32" t="s">
        <v>610</v>
      </c>
    </row>
    <row r="567" spans="1:5" customFormat="1" hidden="1" x14ac:dyDescent="0.25">
      <c r="A567" s="31">
        <v>11</v>
      </c>
      <c r="B567" s="32" t="s">
        <v>38</v>
      </c>
      <c r="C567" s="32" t="s">
        <v>740</v>
      </c>
      <c r="D567" s="32" t="s">
        <v>741</v>
      </c>
    </row>
    <row r="568" spans="1:5" customFormat="1" hidden="1" x14ac:dyDescent="0.25">
      <c r="A568" s="31">
        <v>11</v>
      </c>
      <c r="B568" s="32" t="s">
        <v>33</v>
      </c>
      <c r="C568" s="32" t="s">
        <v>742</v>
      </c>
      <c r="D568" s="32" t="s">
        <v>743</v>
      </c>
    </row>
    <row r="569" spans="1:5" customFormat="1" hidden="1" x14ac:dyDescent="0.25">
      <c r="A569" s="31">
        <v>11</v>
      </c>
      <c r="B569" s="32" t="s">
        <v>33</v>
      </c>
      <c r="C569" s="32" t="s">
        <v>744</v>
      </c>
      <c r="D569" s="32" t="s">
        <v>745</v>
      </c>
    </row>
    <row r="570" spans="1:5" customFormat="1" hidden="1" x14ac:dyDescent="0.25">
      <c r="A570" s="31">
        <v>11</v>
      </c>
      <c r="B570" s="32" t="s">
        <v>33</v>
      </c>
      <c r="C570" s="32" t="s">
        <v>746</v>
      </c>
      <c r="D570" s="32" t="s">
        <v>747</v>
      </c>
    </row>
    <row r="571" spans="1:5" customFormat="1" hidden="1" x14ac:dyDescent="0.25">
      <c r="A571" s="31">
        <v>11</v>
      </c>
      <c r="B571" s="32" t="s">
        <v>33</v>
      </c>
      <c r="C571" s="32" t="s">
        <v>748</v>
      </c>
      <c r="D571" s="32" t="s">
        <v>749</v>
      </c>
    </row>
    <row r="572" spans="1:5" customFormat="1" x14ac:dyDescent="0.25">
      <c r="A572" s="31">
        <v>12</v>
      </c>
      <c r="B572" s="32" t="s">
        <v>35</v>
      </c>
      <c r="C572" s="32" t="s">
        <v>750</v>
      </c>
      <c r="D572" s="32" t="s">
        <v>751</v>
      </c>
      <c r="E572" s="32" t="s">
        <v>52</v>
      </c>
    </row>
    <row r="573" spans="1:5" customFormat="1" x14ac:dyDescent="0.25">
      <c r="A573" s="31">
        <v>12</v>
      </c>
      <c r="B573" s="32" t="s">
        <v>37</v>
      </c>
      <c r="C573" s="32" t="s">
        <v>752</v>
      </c>
      <c r="D573" s="32" t="s">
        <v>198</v>
      </c>
    </row>
    <row r="574" spans="1:5" customFormat="1" x14ac:dyDescent="0.25">
      <c r="A574" s="31">
        <v>12</v>
      </c>
      <c r="B574" s="32" t="s">
        <v>35</v>
      </c>
      <c r="C574" s="32" t="s">
        <v>753</v>
      </c>
      <c r="D574" s="32" t="s">
        <v>586</v>
      </c>
    </row>
    <row r="575" spans="1:5" customFormat="1" hidden="1" x14ac:dyDescent="0.25">
      <c r="A575" s="31">
        <v>13</v>
      </c>
      <c r="B575" s="32" t="s">
        <v>32</v>
      </c>
      <c r="C575" s="32" t="s">
        <v>754</v>
      </c>
      <c r="D575" s="32" t="s">
        <v>755</v>
      </c>
    </row>
    <row r="576" spans="1:5" customFormat="1" hidden="1" x14ac:dyDescent="0.25">
      <c r="A576" s="31">
        <v>13</v>
      </c>
      <c r="B576" s="32" t="s">
        <v>35</v>
      </c>
      <c r="C576" s="32" t="s">
        <v>756</v>
      </c>
      <c r="D576" s="32" t="s">
        <v>757</v>
      </c>
      <c r="E576" s="32" t="s">
        <v>143</v>
      </c>
    </row>
    <row r="577" spans="1:5" customFormat="1" hidden="1" x14ac:dyDescent="0.25">
      <c r="A577" s="31">
        <v>13</v>
      </c>
      <c r="B577" s="32" t="s">
        <v>35</v>
      </c>
      <c r="C577" s="32" t="s">
        <v>758</v>
      </c>
      <c r="D577" s="32" t="s">
        <v>708</v>
      </c>
    </row>
    <row r="578" spans="1:5" customFormat="1" hidden="1" x14ac:dyDescent="0.25">
      <c r="A578" s="31">
        <v>13</v>
      </c>
      <c r="B578" s="32" t="s">
        <v>41</v>
      </c>
      <c r="C578" s="32" t="s">
        <v>759</v>
      </c>
      <c r="D578" s="32" t="s">
        <v>760</v>
      </c>
    </row>
    <row r="579" spans="1:5" customFormat="1" hidden="1" x14ac:dyDescent="0.25">
      <c r="A579" s="31">
        <v>13</v>
      </c>
      <c r="B579" s="32" t="s">
        <v>29</v>
      </c>
      <c r="C579" s="32" t="s">
        <v>761</v>
      </c>
      <c r="D579" s="32" t="s">
        <v>762</v>
      </c>
    </row>
    <row r="580" spans="1:5" customFormat="1" hidden="1" x14ac:dyDescent="0.25">
      <c r="A580" s="31">
        <v>13</v>
      </c>
      <c r="B580" s="32" t="s">
        <v>35</v>
      </c>
      <c r="C580" s="32" t="s">
        <v>763</v>
      </c>
      <c r="D580" s="32" t="s">
        <v>764</v>
      </c>
    </row>
    <row r="581" spans="1:5" customFormat="1" hidden="1" x14ac:dyDescent="0.25">
      <c r="A581" s="31">
        <v>13</v>
      </c>
      <c r="B581" s="32" t="s">
        <v>36</v>
      </c>
      <c r="C581" s="32" t="s">
        <v>765</v>
      </c>
      <c r="D581" s="32" t="s">
        <v>673</v>
      </c>
    </row>
    <row r="582" spans="1:5" customFormat="1" hidden="1" x14ac:dyDescent="0.25">
      <c r="A582" s="31">
        <v>13</v>
      </c>
      <c r="B582" s="32" t="s">
        <v>32</v>
      </c>
      <c r="C582" s="32" t="s">
        <v>766</v>
      </c>
      <c r="D582" s="32" t="s">
        <v>657</v>
      </c>
    </row>
    <row r="583" spans="1:5" customFormat="1" hidden="1" x14ac:dyDescent="0.25">
      <c r="A583" s="31">
        <v>13</v>
      </c>
      <c r="B583" s="32" t="s">
        <v>32</v>
      </c>
      <c r="C583" s="32" t="s">
        <v>767</v>
      </c>
      <c r="D583" s="32" t="s">
        <v>659</v>
      </c>
    </row>
    <row r="584" spans="1:5" customFormat="1" hidden="1" x14ac:dyDescent="0.25">
      <c r="A584" s="31">
        <v>13</v>
      </c>
      <c r="B584" s="32" t="s">
        <v>32</v>
      </c>
      <c r="C584" s="32" t="s">
        <v>767</v>
      </c>
      <c r="D584" s="32" t="s">
        <v>768</v>
      </c>
    </row>
    <row r="585" spans="1:5" customFormat="1" hidden="1" x14ac:dyDescent="0.25">
      <c r="A585" s="31">
        <v>13</v>
      </c>
      <c r="B585" s="32" t="s">
        <v>41</v>
      </c>
      <c r="C585" s="32" t="s">
        <v>759</v>
      </c>
      <c r="D585" s="32" t="s">
        <v>769</v>
      </c>
    </row>
    <row r="586" spans="1:5" customFormat="1" hidden="1" x14ac:dyDescent="0.25">
      <c r="A586" s="31">
        <v>14</v>
      </c>
      <c r="B586" s="32" t="s">
        <v>32</v>
      </c>
      <c r="C586" s="32" t="s">
        <v>770</v>
      </c>
      <c r="D586" s="32" t="s">
        <v>392</v>
      </c>
    </row>
    <row r="587" spans="1:5" customFormat="1" hidden="1" x14ac:dyDescent="0.25">
      <c r="A587" s="31">
        <v>14</v>
      </c>
      <c r="B587" s="32" t="s">
        <v>35</v>
      </c>
      <c r="C587" s="32" t="s">
        <v>771</v>
      </c>
      <c r="D587" s="32" t="s">
        <v>772</v>
      </c>
      <c r="E587" s="32" t="s">
        <v>52</v>
      </c>
    </row>
    <row r="588" spans="1:5" customFormat="1" hidden="1" x14ac:dyDescent="0.25">
      <c r="A588" s="31">
        <v>14</v>
      </c>
      <c r="B588" s="32" t="s">
        <v>41</v>
      </c>
      <c r="C588" s="32" t="s">
        <v>773</v>
      </c>
      <c r="D588" s="32" t="s">
        <v>774</v>
      </c>
    </row>
    <row r="589" spans="1:5" customFormat="1" hidden="1" x14ac:dyDescent="0.25">
      <c r="A589" s="31">
        <v>14</v>
      </c>
      <c r="B589" s="32" t="s">
        <v>32</v>
      </c>
      <c r="C589" s="32" t="s">
        <v>775</v>
      </c>
      <c r="D589" s="32" t="s">
        <v>677</v>
      </c>
    </row>
    <row r="590" spans="1:5" customFormat="1" hidden="1" x14ac:dyDescent="0.25">
      <c r="A590" s="31">
        <v>15</v>
      </c>
      <c r="B590" s="32" t="s">
        <v>32</v>
      </c>
      <c r="C590" s="32" t="s">
        <v>776</v>
      </c>
      <c r="D590" s="32" t="s">
        <v>680</v>
      </c>
    </row>
    <row r="591" spans="1:5" customFormat="1" hidden="1" x14ac:dyDescent="0.25">
      <c r="A591" s="31">
        <v>15</v>
      </c>
      <c r="B591" s="32" t="s">
        <v>38</v>
      </c>
      <c r="C591" s="32" t="s">
        <v>777</v>
      </c>
      <c r="D591" s="32" t="s">
        <v>778</v>
      </c>
    </row>
    <row r="592" spans="1:5" customFormat="1" hidden="1" x14ac:dyDescent="0.25">
      <c r="A592" s="31">
        <v>15</v>
      </c>
      <c r="B592" s="32" t="s">
        <v>41</v>
      </c>
      <c r="C592" s="32" t="s">
        <v>779</v>
      </c>
      <c r="D592" s="32" t="s">
        <v>780</v>
      </c>
    </row>
    <row r="593" spans="1:5" customFormat="1" hidden="1" x14ac:dyDescent="0.25">
      <c r="A593" s="31">
        <v>15</v>
      </c>
      <c r="B593" s="32" t="s">
        <v>32</v>
      </c>
      <c r="C593" s="32" t="s">
        <v>781</v>
      </c>
      <c r="D593" s="32" t="s">
        <v>700</v>
      </c>
    </row>
    <row r="594" spans="1:5" customFormat="1" hidden="1" x14ac:dyDescent="0.25">
      <c r="A594" s="31">
        <v>16</v>
      </c>
      <c r="B594" s="32" t="s">
        <v>32</v>
      </c>
      <c r="C594" s="32" t="s">
        <v>782</v>
      </c>
      <c r="D594" s="32" t="s">
        <v>783</v>
      </c>
    </row>
    <row r="595" spans="1:5" customFormat="1" hidden="1" x14ac:dyDescent="0.25">
      <c r="A595" s="31">
        <v>16</v>
      </c>
      <c r="B595" s="32" t="s">
        <v>35</v>
      </c>
      <c r="C595" s="32" t="s">
        <v>784</v>
      </c>
      <c r="D595" s="32" t="s">
        <v>785</v>
      </c>
      <c r="E595" s="32" t="s">
        <v>143</v>
      </c>
    </row>
    <row r="596" spans="1:5" customFormat="1" hidden="1" x14ac:dyDescent="0.25">
      <c r="A596" s="31">
        <v>16</v>
      </c>
      <c r="B596" s="32" t="s">
        <v>91</v>
      </c>
      <c r="C596" s="32" t="s">
        <v>786</v>
      </c>
      <c r="D596" s="32" t="s">
        <v>727</v>
      </c>
    </row>
    <row r="597" spans="1:5" customFormat="1" hidden="1" x14ac:dyDescent="0.25">
      <c r="A597" s="31">
        <v>16</v>
      </c>
      <c r="B597" s="32" t="s">
        <v>31</v>
      </c>
      <c r="C597" s="32" t="s">
        <v>787</v>
      </c>
      <c r="D597" s="32" t="s">
        <v>788</v>
      </c>
    </row>
    <row r="598" spans="1:5" customFormat="1" hidden="1" x14ac:dyDescent="0.25">
      <c r="A598" s="31">
        <v>16</v>
      </c>
      <c r="B598" s="32" t="s">
        <v>32</v>
      </c>
      <c r="C598" s="32" t="s">
        <v>789</v>
      </c>
      <c r="D598" s="32" t="s">
        <v>790</v>
      </c>
    </row>
    <row r="599" spans="1:5" customFormat="1" hidden="1" x14ac:dyDescent="0.25">
      <c r="A599" s="31">
        <v>16</v>
      </c>
      <c r="B599" s="32" t="s">
        <v>32</v>
      </c>
      <c r="C599" s="32" t="s">
        <v>782</v>
      </c>
      <c r="D599" s="32" t="s">
        <v>791</v>
      </c>
    </row>
    <row r="600" spans="1:5" customFormat="1" hidden="1" x14ac:dyDescent="0.25">
      <c r="A600" s="31">
        <v>17</v>
      </c>
      <c r="B600" s="32" t="s">
        <v>32</v>
      </c>
      <c r="C600" s="32" t="s">
        <v>792</v>
      </c>
      <c r="D600" s="32" t="s">
        <v>540</v>
      </c>
    </row>
    <row r="601" spans="1:5" customFormat="1" hidden="1" x14ac:dyDescent="0.25">
      <c r="A601" s="31">
        <v>17</v>
      </c>
      <c r="B601" s="32" t="s">
        <v>41</v>
      </c>
      <c r="C601" s="32" t="s">
        <v>793</v>
      </c>
      <c r="D601" s="32" t="s">
        <v>794</v>
      </c>
    </row>
    <row r="602" spans="1:5" customFormat="1" hidden="1" x14ac:dyDescent="0.25">
      <c r="A602" s="31">
        <v>17</v>
      </c>
      <c r="B602" s="32" t="s">
        <v>35</v>
      </c>
      <c r="C602" s="32" t="s">
        <v>795</v>
      </c>
      <c r="D602" s="32" t="s">
        <v>796</v>
      </c>
      <c r="E602" s="32" t="s">
        <v>143</v>
      </c>
    </row>
    <row r="603" spans="1:5" customFormat="1" hidden="1" x14ac:dyDescent="0.25">
      <c r="A603" s="31">
        <v>17</v>
      </c>
      <c r="B603" s="32" t="s">
        <v>41</v>
      </c>
      <c r="C603" s="32" t="s">
        <v>797</v>
      </c>
      <c r="D603" s="32" t="s">
        <v>798</v>
      </c>
    </row>
    <row r="604" spans="1:5" customFormat="1" hidden="1" x14ac:dyDescent="0.25">
      <c r="A604" s="31">
        <v>17</v>
      </c>
      <c r="B604" s="32" t="s">
        <v>38</v>
      </c>
      <c r="C604" s="32" t="s">
        <v>799</v>
      </c>
      <c r="D604" s="32" t="s">
        <v>800</v>
      </c>
    </row>
    <row r="605" spans="1:5" customFormat="1" hidden="1" x14ac:dyDescent="0.25">
      <c r="A605" s="31">
        <v>17</v>
      </c>
      <c r="B605" s="32" t="s">
        <v>32</v>
      </c>
      <c r="C605" s="32" t="s">
        <v>801</v>
      </c>
      <c r="D605" s="32" t="s">
        <v>802</v>
      </c>
    </row>
    <row r="606" spans="1:5" customFormat="1" hidden="1" x14ac:dyDescent="0.25">
      <c r="A606" s="31">
        <v>17</v>
      </c>
      <c r="B606" s="32" t="s">
        <v>32</v>
      </c>
      <c r="C606" s="32" t="s">
        <v>803</v>
      </c>
      <c r="D606" s="32" t="s">
        <v>804</v>
      </c>
    </row>
    <row r="607" spans="1:5" customFormat="1" hidden="1" x14ac:dyDescent="0.25">
      <c r="A607" s="31">
        <v>17</v>
      </c>
      <c r="B607" s="32" t="s">
        <v>32</v>
      </c>
      <c r="C607" s="32" t="s">
        <v>792</v>
      </c>
      <c r="D607" s="32" t="s">
        <v>805</v>
      </c>
    </row>
    <row r="608" spans="1:5" customFormat="1" hidden="1" x14ac:dyDescent="0.25">
      <c r="A608" s="31">
        <v>18</v>
      </c>
      <c r="B608" s="32" t="s">
        <v>41</v>
      </c>
      <c r="C608" s="32" t="s">
        <v>806</v>
      </c>
      <c r="D608" s="32" t="s">
        <v>807</v>
      </c>
    </row>
    <row r="609" spans="1:5" customFormat="1" hidden="1" x14ac:dyDescent="0.25">
      <c r="A609" s="31">
        <v>19</v>
      </c>
      <c r="B609" s="32" t="s">
        <v>35</v>
      </c>
      <c r="C609" s="32" t="s">
        <v>808</v>
      </c>
      <c r="D609" s="32" t="s">
        <v>809</v>
      </c>
      <c r="E609" s="32" t="s">
        <v>143</v>
      </c>
    </row>
    <row r="610" spans="1:5" customFormat="1" x14ac:dyDescent="0.25">
      <c r="A610" s="31">
        <v>20</v>
      </c>
      <c r="B610" s="32" t="s">
        <v>35</v>
      </c>
      <c r="C610" s="32" t="s">
        <v>810</v>
      </c>
      <c r="D610" s="32" t="s">
        <v>811</v>
      </c>
      <c r="E610" s="32" t="s">
        <v>52</v>
      </c>
    </row>
    <row r="611" spans="1:5" customFormat="1" x14ac:dyDescent="0.25">
      <c r="A611" s="31">
        <v>20</v>
      </c>
      <c r="B611" s="32" t="s">
        <v>32</v>
      </c>
      <c r="C611" s="32" t="s">
        <v>812</v>
      </c>
      <c r="D611" s="32" t="s">
        <v>813</v>
      </c>
    </row>
    <row r="612" spans="1:5" customFormat="1" x14ac:dyDescent="0.25">
      <c r="A612" s="31">
        <v>20</v>
      </c>
      <c r="B612" s="32" t="s">
        <v>32</v>
      </c>
      <c r="C612" s="32" t="s">
        <v>814</v>
      </c>
      <c r="D612" s="32" t="s">
        <v>815</v>
      </c>
    </row>
    <row r="613" spans="1:5" customFormat="1" x14ac:dyDescent="0.25">
      <c r="A613" s="31">
        <v>21</v>
      </c>
      <c r="B613" s="32" t="s">
        <v>32</v>
      </c>
      <c r="C613" s="32" t="s">
        <v>816</v>
      </c>
      <c r="D613" s="32" t="s">
        <v>817</v>
      </c>
    </row>
    <row r="614" spans="1:5" customFormat="1" x14ac:dyDescent="0.25">
      <c r="A614" s="31">
        <v>21</v>
      </c>
      <c r="B614" s="32" t="s">
        <v>41</v>
      </c>
      <c r="C614" s="32" t="s">
        <v>818</v>
      </c>
      <c r="D614" s="32" t="s">
        <v>819</v>
      </c>
    </row>
    <row r="615" spans="1:5" customFormat="1" x14ac:dyDescent="0.25">
      <c r="A615" s="31">
        <v>21</v>
      </c>
      <c r="B615" s="32" t="s">
        <v>31</v>
      </c>
      <c r="C615" s="32" t="s">
        <v>820</v>
      </c>
      <c r="D615" s="32" t="s">
        <v>821</v>
      </c>
    </row>
    <row r="616" spans="1:5" customFormat="1" x14ac:dyDescent="0.25">
      <c r="A616" s="31">
        <v>21</v>
      </c>
      <c r="B616" s="32" t="s">
        <v>32</v>
      </c>
      <c r="C616" s="32" t="s">
        <v>822</v>
      </c>
      <c r="D616" s="32" t="s">
        <v>823</v>
      </c>
    </row>
    <row r="617" spans="1:5" customFormat="1" x14ac:dyDescent="0.25">
      <c r="A617" s="31">
        <v>22</v>
      </c>
      <c r="B617" s="32" t="s">
        <v>32</v>
      </c>
      <c r="C617" s="32" t="s">
        <v>824</v>
      </c>
      <c r="D617" s="32" t="s">
        <v>825</v>
      </c>
    </row>
    <row r="618" spans="1:5" customFormat="1" x14ac:dyDescent="0.25">
      <c r="A618" s="31">
        <v>22</v>
      </c>
      <c r="B618" s="32" t="s">
        <v>32</v>
      </c>
      <c r="C618" s="32" t="s">
        <v>826</v>
      </c>
      <c r="D618" s="32" t="s">
        <v>827</v>
      </c>
    </row>
    <row r="619" spans="1:5" customFormat="1" x14ac:dyDescent="0.25">
      <c r="A619" s="31">
        <v>23</v>
      </c>
      <c r="B619" s="32" t="s">
        <v>32</v>
      </c>
      <c r="C619" s="32" t="s">
        <v>828</v>
      </c>
      <c r="D619" s="32" t="s">
        <v>829</v>
      </c>
    </row>
    <row r="620" spans="1:5" customFormat="1" x14ac:dyDescent="0.25">
      <c r="A620" s="31">
        <v>23</v>
      </c>
      <c r="B620" s="32" t="s">
        <v>38</v>
      </c>
      <c r="C620" s="32" t="s">
        <v>830</v>
      </c>
      <c r="D620" s="32" t="s">
        <v>831</v>
      </c>
    </row>
    <row r="621" spans="1:5" customFormat="1" x14ac:dyDescent="0.25">
      <c r="A621" s="31">
        <v>23</v>
      </c>
      <c r="B621" s="32" t="s">
        <v>31</v>
      </c>
      <c r="C621" s="32" t="s">
        <v>832</v>
      </c>
      <c r="D621" s="32" t="s">
        <v>833</v>
      </c>
      <c r="E621" t="s">
        <v>834</v>
      </c>
    </row>
    <row r="622" spans="1:5" customFormat="1" x14ac:dyDescent="0.25">
      <c r="A622" s="31">
        <v>23</v>
      </c>
      <c r="B622" s="32" t="s">
        <v>32</v>
      </c>
      <c r="C622" s="32" t="s">
        <v>835</v>
      </c>
      <c r="D622" s="32" t="s">
        <v>836</v>
      </c>
    </row>
    <row r="623" spans="1:5" customFormat="1" x14ac:dyDescent="0.25">
      <c r="A623" s="31">
        <v>24</v>
      </c>
      <c r="B623" s="32" t="s">
        <v>32</v>
      </c>
      <c r="C623" s="32" t="s">
        <v>837</v>
      </c>
      <c r="D623" s="32" t="s">
        <v>838</v>
      </c>
    </row>
    <row r="624" spans="1:5" customFormat="1" x14ac:dyDescent="0.25">
      <c r="A624" s="31">
        <v>24</v>
      </c>
      <c r="B624" s="32" t="s">
        <v>32</v>
      </c>
      <c r="C624" s="32" t="s">
        <v>839</v>
      </c>
      <c r="D624" s="32" t="s">
        <v>840</v>
      </c>
    </row>
    <row r="625" spans="1:4" customFormat="1" hidden="1" x14ac:dyDescent="0.25">
      <c r="A625" s="31">
        <v>30</v>
      </c>
      <c r="B625" s="32" t="s">
        <v>38</v>
      </c>
      <c r="C625" s="32" t="s">
        <v>841</v>
      </c>
      <c r="D625" s="32" t="s">
        <v>842</v>
      </c>
    </row>
    <row r="626" spans="1:4" customFormat="1" hidden="1" x14ac:dyDescent="0.25">
      <c r="A626" s="31" t="s">
        <v>843</v>
      </c>
      <c r="B626" s="32" t="s">
        <v>32</v>
      </c>
      <c r="C626" s="32" t="s">
        <v>844</v>
      </c>
      <c r="D626" s="32" t="s">
        <v>794</v>
      </c>
    </row>
    <row r="627" spans="1:4" customFormat="1" hidden="1" x14ac:dyDescent="0.25">
      <c r="A627" s="31" t="s">
        <v>843</v>
      </c>
      <c r="B627" s="32" t="s">
        <v>41</v>
      </c>
      <c r="C627" s="32" t="s">
        <v>845</v>
      </c>
      <c r="D627" s="32" t="s">
        <v>846</v>
      </c>
    </row>
    <row r="628" spans="1:4" customFormat="1" hidden="1" x14ac:dyDescent="0.25">
      <c r="A628" s="31" t="s">
        <v>843</v>
      </c>
      <c r="B628" s="32" t="s">
        <v>40</v>
      </c>
      <c r="C628" s="32" t="s">
        <v>847</v>
      </c>
      <c r="D628" s="32" t="s">
        <v>112</v>
      </c>
    </row>
    <row r="629" spans="1:4" customFormat="1" hidden="1" x14ac:dyDescent="0.25">
      <c r="A629" s="31" t="s">
        <v>843</v>
      </c>
      <c r="B629" s="32" t="s">
        <v>848</v>
      </c>
      <c r="C629" s="32" t="s">
        <v>849</v>
      </c>
      <c r="D629" s="32" t="s">
        <v>616</v>
      </c>
    </row>
  </sheetData>
  <autoFilter ref="A1:D629">
    <filterColumn colId="0">
      <filters>
        <filter val="1/2"/>
        <filter val="12"/>
        <filter val="2"/>
        <filter val="20"/>
        <filter val="21"/>
        <filter val="22"/>
        <filter val="23"/>
        <filter val="24"/>
      </filters>
    </filterColumn>
  </autoFilter>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dimension ref="A1"/>
  <sheetViews>
    <sheetView tabSelected="1"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18</vt:i4>
      </vt:variant>
    </vt:vector>
  </HeadingPairs>
  <TitlesOfParts>
    <vt:vector size="26" baseType="lpstr">
      <vt:lpstr>MonsterStats</vt:lpstr>
      <vt:lpstr>MonsterBuilder</vt:lpstr>
      <vt:lpstr>MonsterList</vt:lpstr>
      <vt:lpstr>EncCalc</vt:lpstr>
      <vt:lpstr>Combat</vt:lpstr>
      <vt:lpstr>Roller</vt:lpstr>
      <vt:lpstr>Лист5</vt:lpstr>
      <vt:lpstr>Лист3</vt:lpstr>
      <vt:lpstr>EncounterName1</vt:lpstr>
      <vt:lpstr>EncounterName10</vt:lpstr>
      <vt:lpstr>EncounterName2</vt:lpstr>
      <vt:lpstr>EncounterName3</vt:lpstr>
      <vt:lpstr>EncounterName4</vt:lpstr>
      <vt:lpstr>EncounterName5</vt:lpstr>
      <vt:lpstr>EncounterName6</vt:lpstr>
      <vt:lpstr>EncounterName7</vt:lpstr>
      <vt:lpstr>EncounterName8</vt:lpstr>
      <vt:lpstr>EncounterName9</vt:lpstr>
      <vt:lpstr>NumberOfCharacters</vt:lpstr>
      <vt:lpstr>PartyCPDay</vt:lpstr>
      <vt:lpstr>PartyDeadly</vt:lpstr>
      <vt:lpstr>PartyEasy</vt:lpstr>
      <vt:lpstr>PartyHard</vt:lpstr>
      <vt:lpstr>PartyMedium</vt:lpstr>
      <vt:lpstr>PartyPower</vt:lpstr>
      <vt:lpstr>RecommendedBudgetSR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Палихов Антон</dc:creator>
  <cp:lastModifiedBy>Палихов Антон</cp:lastModifiedBy>
  <dcterms:created xsi:type="dcterms:W3CDTF">2015-01-06T16:11:05Z</dcterms:created>
  <dcterms:modified xsi:type="dcterms:W3CDTF">2015-01-16T21:43:27Z</dcterms:modified>
</cp:coreProperties>
</file>