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lant\Desktop\"/>
    </mc:Choice>
  </mc:AlternateContent>
  <bookViews>
    <workbookView xWindow="0" yWindow="0" windowWidth="19200" windowHeight="8235" activeTab="1"/>
  </bookViews>
  <sheets>
    <sheet name="энкаунтеры" sheetId="1" r:id="rId1"/>
    <sheet name="свод" sheetId="2" r:id="rId2"/>
    <sheet name="Лист3" sheetId="3" state="hidden" r:id="rId3"/>
    <sheet name="Лист4" sheetId="4" state="hidden" r:id="rId4"/>
    <sheet name="Лист5" sheetId="5" state="hidden" r:id="rId5"/>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7" i="4" l="1"/>
  <c r="H16" i="4"/>
  <c r="H13" i="4"/>
  <c r="H12" i="4"/>
  <c r="G44" i="3"/>
  <c r="G42" i="3"/>
  <c r="G37" i="3"/>
  <c r="G31" i="3"/>
  <c r="F27" i="3"/>
  <c r="E27" i="3"/>
  <c r="D27" i="3"/>
  <c r="C27" i="3"/>
  <c r="G25" i="3"/>
  <c r="G27" i="3" s="1"/>
  <c r="G23" i="3"/>
  <c r="G21" i="3"/>
  <c r="G19" i="3"/>
  <c r="G17" i="3"/>
  <c r="G15" i="3"/>
  <c r="H37" i="2"/>
  <c r="H36" i="2"/>
  <c r="H35" i="2"/>
  <c r="D38" i="2"/>
  <c r="D37" i="2"/>
  <c r="D36" i="2"/>
  <c r="D35" i="2"/>
  <c r="H11" i="2"/>
  <c r="G11" i="2"/>
  <c r="I11" i="2" s="1"/>
  <c r="F11" i="2"/>
  <c r="E11" i="2"/>
  <c r="D11" i="2"/>
  <c r="C11" i="2"/>
  <c r="B11" i="2"/>
  <c r="H9" i="2"/>
  <c r="G9" i="2"/>
  <c r="I9" i="2" s="1"/>
  <c r="F9" i="2"/>
  <c r="E9" i="2"/>
  <c r="D9" i="2"/>
  <c r="C9" i="2"/>
  <c r="B9" i="2"/>
  <c r="H7" i="2"/>
  <c r="H5" i="2"/>
  <c r="H8" i="2"/>
  <c r="H10" i="2" s="1"/>
  <c r="J4" i="2"/>
  <c r="F4" i="2"/>
  <c r="F6" i="2" s="1"/>
  <c r="F8" i="2" s="1"/>
  <c r="F10" i="2" s="1"/>
  <c r="E4" i="2"/>
  <c r="E6" i="2" s="1"/>
  <c r="E8" i="2" s="1"/>
  <c r="E10" i="2" s="1"/>
  <c r="D4" i="2"/>
  <c r="D6" i="2" s="1"/>
  <c r="D8" i="2" s="1"/>
  <c r="D10" i="2" s="1"/>
  <c r="C4" i="2"/>
  <c r="C5" i="2" s="1"/>
  <c r="B4" i="2"/>
  <c r="B6" i="2" s="1"/>
  <c r="B7" i="2" s="1"/>
  <c r="C75" i="1"/>
  <c r="J74" i="1"/>
  <c r="I74" i="1"/>
  <c r="H74" i="1"/>
  <c r="G74" i="1"/>
  <c r="F74" i="1"/>
  <c r="C65" i="1"/>
  <c r="C56" i="1"/>
  <c r="C68" i="1"/>
  <c r="C57" i="1"/>
  <c r="C55" i="1"/>
  <c r="C59" i="1"/>
  <c r="C62" i="1"/>
  <c r="C71" i="1"/>
  <c r="C72" i="1"/>
  <c r="C67" i="1"/>
  <c r="C52" i="1"/>
  <c r="D5" i="1"/>
  <c r="D7" i="1" s="1"/>
  <c r="D10" i="1" s="1"/>
  <c r="D11" i="1" s="1"/>
  <c r="G6" i="1"/>
  <c r="H6" i="1"/>
  <c r="I6" i="1"/>
  <c r="J6" i="1"/>
  <c r="C12" i="1"/>
  <c r="C13" i="1"/>
  <c r="C15" i="1"/>
  <c r="G20" i="1"/>
  <c r="I20" i="1"/>
  <c r="F20" i="1"/>
  <c r="H20" i="1"/>
  <c r="J20" i="1"/>
  <c r="C25" i="1"/>
  <c r="C26" i="1" s="1"/>
  <c r="C30" i="1"/>
  <c r="C33" i="1"/>
  <c r="C34" i="1"/>
  <c r="C35" i="1"/>
  <c r="F36" i="1"/>
  <c r="G36" i="1"/>
  <c r="H36" i="1"/>
  <c r="I36" i="1"/>
  <c r="J36" i="1"/>
  <c r="C38" i="1"/>
  <c r="C41" i="1"/>
  <c r="C42" i="1"/>
  <c r="C45" i="1"/>
  <c r="C46" i="1"/>
  <c r="C48" i="1"/>
  <c r="C49" i="1"/>
  <c r="F50" i="1"/>
  <c r="G50" i="1"/>
  <c r="H50" i="1"/>
  <c r="I50" i="1"/>
  <c r="J50" i="1"/>
  <c r="D7" i="2" l="1"/>
  <c r="F7" i="2"/>
  <c r="E7" i="2"/>
  <c r="E5" i="2"/>
  <c r="B5" i="2"/>
  <c r="D5" i="2"/>
  <c r="F5" i="2"/>
  <c r="B8" i="2"/>
  <c r="G4" i="2"/>
  <c r="G5" i="2" s="1"/>
  <c r="I5" i="2" s="1"/>
  <c r="C6" i="2"/>
  <c r="C74" i="1"/>
  <c r="D12" i="1"/>
  <c r="D13" i="1" s="1"/>
  <c r="D15" i="1" s="1"/>
  <c r="D16" i="1" s="1"/>
  <c r="D17" i="1" s="1"/>
  <c r="D19" i="1" s="1"/>
  <c r="D22" i="1" s="1"/>
  <c r="D23" i="1" s="1"/>
  <c r="D25" i="1" s="1"/>
  <c r="D26" i="1" s="1"/>
  <c r="D27" i="1" s="1"/>
  <c r="D28" i="1" s="1"/>
  <c r="D29" i="1" s="1"/>
  <c r="D30" i="1" s="1"/>
  <c r="D31" i="1" s="1"/>
  <c r="D33" i="1" s="1"/>
  <c r="D34" i="1" s="1"/>
  <c r="D35" i="1" s="1"/>
  <c r="D38" i="1" s="1"/>
  <c r="D40" i="1" s="1"/>
  <c r="D41" i="1" s="1"/>
  <c r="D42" i="1" s="1"/>
  <c r="D43" i="1" s="1"/>
  <c r="D44" i="1" s="1"/>
  <c r="D45" i="1" s="1"/>
  <c r="D46" i="1" s="1"/>
  <c r="D47" i="1" s="1"/>
  <c r="D48" i="1" s="1"/>
  <c r="D49" i="1" s="1"/>
  <c r="D52" i="1" s="1"/>
  <c r="D55" i="1" s="1"/>
  <c r="D56" i="1" s="1"/>
  <c r="D57" i="1" s="1"/>
  <c r="D58" i="1" s="1"/>
  <c r="D59" i="1" s="1"/>
  <c r="D60" i="1" s="1"/>
  <c r="D61" i="1" s="1"/>
  <c r="D62" i="1" s="1"/>
  <c r="D63" i="1" s="1"/>
  <c r="D64" i="1" s="1"/>
  <c r="D65" i="1" s="1"/>
  <c r="D66" i="1" s="1"/>
  <c r="D67" i="1" s="1"/>
  <c r="D68" i="1" s="1"/>
  <c r="D69" i="1" s="1"/>
  <c r="D70" i="1" s="1"/>
  <c r="D71" i="1" s="1"/>
  <c r="D72" i="1" s="1"/>
  <c r="D73" i="1" s="1"/>
  <c r="D75" i="1" s="1"/>
  <c r="C50" i="1"/>
  <c r="C36" i="1"/>
  <c r="C8" i="2" l="1"/>
  <c r="C10" i="2" s="1"/>
  <c r="C7" i="2"/>
  <c r="B10" i="2"/>
  <c r="G10" i="2" s="1"/>
  <c r="G6" i="2"/>
  <c r="G7" i="2" s="1"/>
  <c r="I7" i="2" s="1"/>
  <c r="G8" i="2" l="1"/>
</calcChain>
</file>

<file path=xl/sharedStrings.xml><?xml version="1.0" encoding="utf-8"?>
<sst xmlns="http://schemas.openxmlformats.org/spreadsheetml/2006/main" count="458" uniqueCount="338">
  <si>
    <t>EXP</t>
  </si>
  <si>
    <t>gp</t>
  </si>
  <si>
    <t>sp</t>
  </si>
  <si>
    <t>cp</t>
  </si>
  <si>
    <t>potions</t>
  </si>
  <si>
    <t>misc</t>
  </si>
  <si>
    <t>2 healing</t>
  </si>
  <si>
    <t>healing, invisibility</t>
  </si>
  <si>
    <t>1. Finding Cragmaw hideout</t>
  </si>
  <si>
    <t>2. Cragmaw hideout</t>
  </si>
  <si>
    <t xml:space="preserve">3. Redbrand Ruffians </t>
  </si>
  <si>
    <t>4. Redbrand Hideout</t>
  </si>
  <si>
    <t>4.1. Cellar</t>
  </si>
  <si>
    <t>4.2. Barracks</t>
  </si>
  <si>
    <t>2nd level</t>
  </si>
  <si>
    <t>4.3. Trapped Hall</t>
  </si>
  <si>
    <t>4.4. Tresendar Crypts</t>
  </si>
  <si>
    <t>4.5. Slave Pens</t>
  </si>
  <si>
    <t>4.7. Storeroom and Work Area</t>
  </si>
  <si>
    <t>30 beaver pelts = 60 gp</t>
  </si>
  <si>
    <t>platinum signet = 50 gp</t>
  </si>
  <si>
    <t>2 garnets = 20 gp</t>
  </si>
  <si>
    <t>jade statuette = 40 gp</t>
  </si>
  <si>
    <t>4.8. Crevasse</t>
  </si>
  <si>
    <t>5 gems = 75</t>
  </si>
  <si>
    <t>scroll</t>
  </si>
  <si>
    <t>augury</t>
  </si>
  <si>
    <t>weapons</t>
  </si>
  <si>
    <t>armors</t>
  </si>
  <si>
    <t>longsword (+1)</t>
  </si>
  <si>
    <t>4.9. Guard Barracks</t>
  </si>
  <si>
    <t>eye patch = 50 gp</t>
  </si>
  <si>
    <t>4.10. Common Room</t>
  </si>
  <si>
    <t>ep</t>
  </si>
  <si>
    <t>gold earrings = 30 gp</t>
  </si>
  <si>
    <t>4.11.  Wizard's Workshop</t>
  </si>
  <si>
    <t>rare reagents = 75 gp</t>
  </si>
  <si>
    <t>4.12. Glassstaff's Quarters</t>
  </si>
  <si>
    <t>gems = 180 gp</t>
  </si>
  <si>
    <t>charm person, fireball</t>
  </si>
  <si>
    <t>staff of defense</t>
  </si>
  <si>
    <t>3rd level</t>
  </si>
  <si>
    <t>3 healing, invisibility</t>
  </si>
  <si>
    <t>misc = 40 gp</t>
  </si>
  <si>
    <t>misc = 540 gp</t>
  </si>
  <si>
    <t>Per character</t>
  </si>
  <si>
    <t>Per party</t>
  </si>
  <si>
    <t>pp</t>
  </si>
  <si>
    <t>pearl = 100 gp</t>
  </si>
  <si>
    <t>healing</t>
  </si>
  <si>
    <t>darkness</t>
  </si>
  <si>
    <t>wondrous items</t>
  </si>
  <si>
    <t>ring of protection</t>
  </si>
  <si>
    <t>goblets = 240 gp</t>
  </si>
  <si>
    <t>misty step, lightning bolt</t>
  </si>
  <si>
    <t xml:space="preserve">battleaxe "Hew" (+1) </t>
  </si>
  <si>
    <t>necklace = 200 gp</t>
  </si>
  <si>
    <t>gems = 300 gp</t>
  </si>
  <si>
    <t>flying</t>
  </si>
  <si>
    <t>TOTAL Ruins of Thundertree</t>
  </si>
  <si>
    <t>healing, flying</t>
  </si>
  <si>
    <t>misc = 740 gp</t>
  </si>
  <si>
    <t>6. Dealing with Agatha</t>
  </si>
  <si>
    <t>7. Old Owl Well</t>
  </si>
  <si>
    <t>8. RUINS OF THUNDERTREE</t>
  </si>
  <si>
    <t>8.1. Westernmost Cottage</t>
  </si>
  <si>
    <t>8.2. Blighted Cottages</t>
  </si>
  <si>
    <t>8.3. The Brown Horse</t>
  </si>
  <si>
    <t>8.5. Blighted Farmhouse</t>
  </si>
  <si>
    <t>8.6. Ruines Store</t>
  </si>
  <si>
    <t>8.7. Dragon Tower</t>
  </si>
  <si>
    <t>8.8. Old Smithy</t>
  </si>
  <si>
    <t>8.9. Herbalist's Shop</t>
  </si>
  <si>
    <t>8.11. Old Garrison</t>
  </si>
  <si>
    <t>8.12. Weaver's Cottage</t>
  </si>
  <si>
    <t>8.13. Dragon Cultists</t>
  </si>
  <si>
    <t>9. WYVERN TOR</t>
  </si>
  <si>
    <t>9.1. Orc Camp</t>
  </si>
  <si>
    <t>10. CRAGMAW CASTLE</t>
  </si>
  <si>
    <t>10.2. Trapped Hall</t>
  </si>
  <si>
    <t>10.3. Archer Post</t>
  </si>
  <si>
    <t>10.4. Ruined Barracks</t>
  </si>
  <si>
    <t>10.6. Hobgoblin Barracks</t>
  </si>
  <si>
    <t>quarterstaff (10 gp)</t>
  </si>
  <si>
    <t>10.7. Banquet Hall</t>
  </si>
  <si>
    <t>10.8. Dark Hall</t>
  </si>
  <si>
    <t>gold statuette = 100 gp</t>
  </si>
  <si>
    <t>10.9. Goblin Shrine</t>
  </si>
  <si>
    <t>chalice =150 gp, knife = 60 gp, art-objects = 120 gp</t>
  </si>
  <si>
    <t>9.12. Guard Barracks</t>
  </si>
  <si>
    <t>9.13. Owlbear Tower</t>
  </si>
  <si>
    <t>silence, revivify</t>
  </si>
  <si>
    <t>9.14. King's Quarters</t>
  </si>
  <si>
    <t>3 healing</t>
  </si>
  <si>
    <t>9. TOTAL Cragmaw Castle</t>
  </si>
  <si>
    <t>4 healing</t>
  </si>
  <si>
    <t>misc = 430 gp</t>
  </si>
  <si>
    <t>4. TOTAL Redbrand Hideout</t>
  </si>
  <si>
    <t>!!! PC Level 3</t>
  </si>
  <si>
    <t>!!! PC Level 2</t>
  </si>
  <si>
    <t>!!! PC Level 1</t>
  </si>
  <si>
    <t>!!! PC Level 4</t>
  </si>
  <si>
    <t>10. Returning War Band</t>
  </si>
  <si>
    <t>11. Wave Echo Cave</t>
  </si>
  <si>
    <t>11.1. Cave Entrance</t>
  </si>
  <si>
    <t>boots of striding and springing</t>
  </si>
  <si>
    <t>11.5. Assayers' Office</t>
  </si>
  <si>
    <t>11.10. Dark Pool</t>
  </si>
  <si>
    <t>2 platinum rings = 150 gp</t>
  </si>
  <si>
    <t>wand of magic missiles</t>
  </si>
  <si>
    <t>11.11. North Barracks</t>
  </si>
  <si>
    <t>vitality</t>
  </si>
  <si>
    <t>11.14. Wizard's Quarters</t>
  </si>
  <si>
    <t>3 diamonds = 300 gp, pipe with platinum filigree = 150 gp</t>
  </si>
  <si>
    <t>11.15. Forge of Spells</t>
  </si>
  <si>
    <t>mace "Lightbringer" (+1)</t>
  </si>
  <si>
    <t>breastplate "Dragonguard" (+1)</t>
  </si>
  <si>
    <t>11.18. Collapsed Cavern</t>
  </si>
  <si>
    <t>gauntlets of ogre power</t>
  </si>
  <si>
    <t>spider staff</t>
  </si>
  <si>
    <t>9 gems = 90 gp, electrum ale mug = 100 gp</t>
  </si>
  <si>
    <t>11.2. Mine tunnels</t>
  </si>
  <si>
    <t>ochre jelly</t>
  </si>
  <si>
    <t>9 skeletons</t>
  </si>
  <si>
    <t>11.4. Old guard room</t>
  </si>
  <si>
    <t>11.3. Old entrance</t>
  </si>
  <si>
    <t>10 stirges</t>
  </si>
  <si>
    <t>11.6. South Barracks</t>
  </si>
  <si>
    <t>3 ghouls</t>
  </si>
  <si>
    <t>11.7. Ruined Storeroom</t>
  </si>
  <si>
    <t>11.8. Fungi Cavern</t>
  </si>
  <si>
    <t>11.9. Great Cavern</t>
  </si>
  <si>
    <t>7 ghouls</t>
  </si>
  <si>
    <t>5 bugbears</t>
  </si>
  <si>
    <t>11.12. Smelter Cavern</t>
  </si>
  <si>
    <t>8 zombies, flameskull</t>
  </si>
  <si>
    <t>11.13. Starry Cavern</t>
  </si>
  <si>
    <t>wraith (Mormesk)</t>
  </si>
  <si>
    <t>spectator</t>
  </si>
  <si>
    <t>11.16. Booming Cavern</t>
  </si>
  <si>
    <t>11.17. Old Streambed</t>
  </si>
  <si>
    <t>3 bugbears, doppleganger</t>
  </si>
  <si>
    <t>11.19. Temple of Dumathoin</t>
  </si>
  <si>
    <t>Nezznar the Black Spider, 4 giant spiders</t>
  </si>
  <si>
    <t>11.20. Priests' Quarters</t>
  </si>
  <si>
    <t>11. TOTAL Wave Echo Cave</t>
  </si>
  <si>
    <t>healing, vitality</t>
  </si>
  <si>
    <t>misc = 790 gp</t>
  </si>
  <si>
    <t>Spider staff, mace "Lightbringer" (+1)</t>
  </si>
  <si>
    <t>!!! PC Level 5</t>
  </si>
  <si>
    <t>QUEST EXPIRIENCE</t>
  </si>
  <si>
    <t>Level 2</t>
  </si>
  <si>
    <t>gp*</t>
  </si>
  <si>
    <t>scrolls</t>
  </si>
  <si>
    <t>Level 1</t>
  </si>
  <si>
    <t>Level 3</t>
  </si>
  <si>
    <t>Level 4</t>
  </si>
  <si>
    <t>Level 5</t>
  </si>
  <si>
    <t>5 healing, invisibility</t>
  </si>
  <si>
    <t>augury, charm person</t>
  </si>
  <si>
    <t>staff of defense, longsword "Talon" (+1)</t>
  </si>
  <si>
    <t>11 healing, invisibility, flying</t>
  </si>
  <si>
    <t>battleaxe "Hew" (+1), staff of defense, longsword "Talon" (+1), masterwork quarterstaff</t>
  </si>
  <si>
    <t>Spider staff, mace "Lightbringer" (+1), battleaxe "Hew" (+1), staff of defense, longsword "Talon" (+1), masterwork quarterstaff</t>
  </si>
  <si>
    <t>12 healing, invisibility, flying, vitality</t>
  </si>
  <si>
    <t>На команду из 4х человек</t>
  </si>
  <si>
    <t>boots of striding and springing, gauntlets of ogre power, wand of magic missiles</t>
  </si>
  <si>
    <t>ring of protection, boots of striding and springing, gauntlets of ogre power, wand of magic missiles</t>
  </si>
  <si>
    <t>50% - healing potion</t>
  </si>
  <si>
    <t>1 healing + (50% - healing) + (25% - invisibility)</t>
  </si>
  <si>
    <t>2 healing + (75% - healing) + (25% - invisibility) + (25% - flying)</t>
  </si>
  <si>
    <t>augury [2], charm person [1]</t>
  </si>
  <si>
    <t>(25% - scroll 1 lvl) + (25% - scroll 2 lvl)</t>
  </si>
  <si>
    <t>silence [2], revivify [3], augury [2], charm person [1], misty step [2], lightning bolt [3], darkness [2]</t>
  </si>
  <si>
    <t>(25% - scroll 1 lvl) + 1 scroll 2 lvl +(50% - scroll 3 lvl)</t>
  </si>
  <si>
    <t>3 healing + (25% - vitality) + (25% - invisibility) + (25% - flying)</t>
  </si>
  <si>
    <t>25% - magical armor</t>
  </si>
  <si>
    <t>1 magical weapon + (25% - magical weapon)</t>
  </si>
  <si>
    <t>(75% - magical weapon)</t>
  </si>
  <si>
    <t>(25% - wondrous item)</t>
  </si>
  <si>
    <t>1 wondrous item</t>
  </si>
  <si>
    <t>Consumables</t>
  </si>
  <si>
    <t>scroll 1 lvl</t>
  </si>
  <si>
    <t>scroll 2 lvl</t>
  </si>
  <si>
    <t>scroll 3 lvl</t>
  </si>
  <si>
    <t>Common</t>
  </si>
  <si>
    <t>Uncommon</t>
  </si>
  <si>
    <t>Rare</t>
  </si>
  <si>
    <t>Very Rare</t>
  </si>
  <si>
    <t>Legendary</t>
  </si>
  <si>
    <t>lvl</t>
  </si>
  <si>
    <t>min value, gp</t>
  </si>
  <si>
    <t>max value, gp</t>
  </si>
  <si>
    <t>Rarity</t>
  </si>
  <si>
    <t>very rare</t>
  </si>
  <si>
    <t>common</t>
  </si>
  <si>
    <t>Potion of healing</t>
  </si>
  <si>
    <t>Potion of flying</t>
  </si>
  <si>
    <t>Potion of vitality</t>
  </si>
  <si>
    <t>Potion of Invisibility</t>
  </si>
  <si>
    <t>Permanent</t>
  </si>
  <si>
    <t>Ring of Protection</t>
  </si>
  <si>
    <t>rare</t>
  </si>
  <si>
    <t>uncommon</t>
  </si>
  <si>
    <t>Wand of Magic Missiles</t>
  </si>
  <si>
    <t>long sword (+1)</t>
  </si>
  <si>
    <t>batte axe (+1)</t>
  </si>
  <si>
    <t>breastplate (+1)</t>
  </si>
  <si>
    <t>Boots of striding and springing</t>
  </si>
  <si>
    <t>Gauntlets of Ogre Power</t>
  </si>
  <si>
    <t>Spider Staff</t>
  </si>
  <si>
    <t>Staff of Defense</t>
  </si>
  <si>
    <t>mace (+1)</t>
  </si>
  <si>
    <t>masterwork quarterstaff</t>
  </si>
  <si>
    <t>Per PC</t>
  </si>
  <si>
    <t>Defiance in Phlan</t>
  </si>
  <si>
    <t>downtime</t>
  </si>
  <si>
    <t>RENOWN</t>
  </si>
  <si>
    <t>Mission 1: Meeting at Deepnight</t>
  </si>
  <si>
    <t>potion of healing</t>
  </si>
  <si>
    <t>Mission 2: The Screams
at Dawn</t>
  </si>
  <si>
    <t>black dragon scale shield = 50 gp</t>
  </si>
  <si>
    <t>DM's reward</t>
  </si>
  <si>
    <t>Mission 3: The Dead at
Highsun</t>
  </si>
  <si>
    <t>protection from evil and good, comprehened languages</t>
  </si>
  <si>
    <t>Mission 4: A Shock at
Evenfeast</t>
  </si>
  <si>
    <t>gem = 50 gp</t>
  </si>
  <si>
    <t>Mission 5: The Danger
at Dusk</t>
  </si>
  <si>
    <t>magnifiyng glass = 50 gp</t>
  </si>
  <si>
    <t>LA</t>
  </si>
  <si>
    <t>EE</t>
  </si>
  <si>
    <t>OotG</t>
  </si>
  <si>
    <t>Z</t>
  </si>
  <si>
    <t>H</t>
  </si>
  <si>
    <t>Secrets of Sokol Keep</t>
  </si>
  <si>
    <t>pouch of platinum = 50 gp, holy symbol = 50 gp, book = 20 gp, chunk of idol = 50 gp per PC</t>
  </si>
  <si>
    <t>splint armor (common)</t>
  </si>
  <si>
    <t>wand of magic detection</t>
  </si>
  <si>
    <t>Emnity</t>
  </si>
  <si>
    <t>Shadows Over the Moonsea</t>
  </si>
  <si>
    <t xml:space="preserve">dracolich statue = 150 gp, idols = 200 gp, old trade bars = 200 gp, </t>
  </si>
  <si>
    <t>ring of evasion</t>
  </si>
  <si>
    <t>2 potions of healing</t>
  </si>
  <si>
    <t>Dues For the Dead</t>
  </si>
  <si>
    <t>jevelry = 40 gp, clothing = 60 gp, trinkets = 130 gp, writing set = 75 gp, lockbox = 100 gp, crown = 250 gp, crown (ruined) = 50 gp, weights and balance =  80 gp, stones from throne = 8 gp,</t>
  </si>
  <si>
    <t>goggles of night</t>
  </si>
  <si>
    <t>Enmity of Doomguide Yovir Glandon, Enmity of the Welcomers. Favor of the Welcomers.</t>
  </si>
  <si>
    <t>The Courting of Fire</t>
  </si>
  <si>
    <t>gem =15 gp, necklace = 50 gp, stones from pillars = 20 gp</t>
  </si>
  <si>
    <t>ring of fire resistance</t>
  </si>
  <si>
    <t>flame blade</t>
  </si>
  <si>
    <t>The Scroll Thief</t>
  </si>
  <si>
    <t>headband of intellect</t>
  </si>
  <si>
    <t>gems and coins = 300 gp,amulet = 50 gp, magnifying glass = 50 gp</t>
  </si>
  <si>
    <t xml:space="preserve">potion of greater healing, </t>
  </si>
  <si>
    <t>Favor of Ellison Berenger</t>
  </si>
  <si>
    <t>Drums in the Marsh</t>
  </si>
  <si>
    <t>necklace = 20 gp</t>
  </si>
  <si>
    <t>keoghtom's  ointment</t>
  </si>
  <si>
    <t>fireball</t>
  </si>
  <si>
    <t>cloak of elvenkind</t>
  </si>
  <si>
    <t>chromatic orb</t>
  </si>
  <si>
    <t>Tales Trees Tell</t>
  </si>
  <si>
    <t>Outlaws of the Iron Route</t>
  </si>
  <si>
    <t xml:space="preserve">tent = 125 gp, wagon = 125 gp, </t>
  </si>
  <si>
    <t>longbow +1</t>
  </si>
  <si>
    <t>Tyranny in Phlan</t>
  </si>
  <si>
    <t>Repeating Expeditions</t>
  </si>
  <si>
    <t>!!! PC Level 6</t>
  </si>
  <si>
    <t>ioun stone of protection</t>
  </si>
  <si>
    <t>2 potion of healing</t>
  </si>
  <si>
    <t>sending</t>
  </si>
  <si>
    <t>In Dark Linsa’s Pocket. In exchange for her assistance in smuggling more than ten dozen people out of Phlan, you have become indebted to the half-drow rogue, Dark Linsa. Despite how ominous this might sound, she was quite impressed by your actions and may call upon you to perform some important task for her in the future.</t>
  </si>
  <si>
    <t>Dark Pyramid of Sorcerer’s Isle</t>
  </si>
  <si>
    <t>horn of blasting</t>
  </si>
  <si>
    <t>potion of healing, vial of acid</t>
  </si>
  <si>
    <t>spellbook</t>
  </si>
  <si>
    <t>dispel magic, gaseous form</t>
  </si>
  <si>
    <t>!!! PC Level 7</t>
  </si>
  <si>
    <t>Raiders of the Twilight Marsh</t>
  </si>
  <si>
    <t>splint mail (+1)</t>
  </si>
  <si>
    <t>water walk, haste</t>
  </si>
  <si>
    <t>potion of invulnerability</t>
  </si>
  <si>
    <t>Traded with a Hag. Either out of greed, naivety, or sheer ignorance, you traded with a hag and now bear a mark visible only to other fey. Any Charisma (Persuasion) checks made to positively influence non-evil fey are made with disadvantage. In order to remove this mark, the hag that you traded with must willingly return the "payment" you rendered in the trade.</t>
  </si>
  <si>
    <t>Pool of Radiance Resurgent</t>
  </si>
  <si>
    <t>!!! PC Level 8</t>
  </si>
  <si>
    <t>potion of gaseous form, potion of greater healing</t>
  </si>
  <si>
    <t>dispel magic</t>
  </si>
  <si>
    <t>mantle of spell resistance</t>
  </si>
  <si>
    <t>Escape from Phlan</t>
  </si>
  <si>
    <t>robe of eyes</t>
  </si>
  <si>
    <t>City of Danger</t>
  </si>
  <si>
    <t>Mini-Adventure 1: Hatred like Clawed Wind</t>
  </si>
  <si>
    <t>PC's reward</t>
  </si>
  <si>
    <t>money</t>
  </si>
  <si>
    <t>Mini-Adventure 2: Love like Raging Fire</t>
  </si>
  <si>
    <t>fire resistance</t>
  </si>
  <si>
    <t>Mini-Adventure 3: Envy like Crushing Earth</t>
  </si>
  <si>
    <t>speak with animals</t>
  </si>
  <si>
    <t>Mini-Adventure 4: Greed like Fathomless Water</t>
  </si>
  <si>
    <t>water breathing</t>
  </si>
  <si>
    <t>Mini-Adventure 5: Fear like Dark Oblivion</t>
  </si>
  <si>
    <t>Embers of Elmwood</t>
  </si>
  <si>
    <t>staff of charming</t>
  </si>
  <si>
    <t>To Wear the Cloak. If your character is an arcane spellcaster, Zora Culkin has offered to sponsor your admittance into the Brotherhood of the Cloak. Though joining the Cloaks is mandatory for any arcanists seeking to stay in Mulmaster for an extended period of time, and sponsorship is not required, Zora Culkin's sponsorship will definitely have its perks.</t>
  </si>
  <si>
    <t>The Drowned Tower</t>
  </si>
  <si>
    <t>Treasure</t>
  </si>
  <si>
    <t>fire resistance, invulnerability</t>
  </si>
  <si>
    <t>trident of warning</t>
  </si>
  <si>
    <t>To Wear the Cloak. If your character is an arcane spellcaster, Salvar Brix has offered to sponsor your admittance into the Brotherhood of the Cloak. Though joining the Cloaks is mandatory for any arcanists seeking to stay in Mulmaster for an extended period of time, and sponsorship is not required, Salvar's sponsorship might be a future boon.</t>
  </si>
  <si>
    <t>6 th level</t>
  </si>
  <si>
    <t>6th level</t>
  </si>
  <si>
    <t>Recommended level</t>
  </si>
  <si>
    <t>1st level</t>
  </si>
  <si>
    <t>Mayhem in the Earthspur Mines</t>
  </si>
  <si>
    <t>fire resistance, greater healing, heroism</t>
  </si>
  <si>
    <t>belt of dwarvenkind</t>
  </si>
  <si>
    <t>Flames of Kythorn</t>
  </si>
  <si>
    <t>brooch of shielding</t>
  </si>
  <si>
    <t>Breath of the Yellow Rose</t>
  </si>
  <si>
    <t>misty step</t>
  </si>
  <si>
    <t>lightning resistance</t>
  </si>
  <si>
    <t>ring of mid shielding</t>
  </si>
  <si>
    <t>Bounty in the Bog</t>
  </si>
  <si>
    <t>comprehened languages, silence, remove curse</t>
  </si>
  <si>
    <t>ring of water walking</t>
  </si>
  <si>
    <t>Into the wilderness</t>
  </si>
  <si>
    <t>Bears and Bows</t>
  </si>
  <si>
    <t>other plunder = 100 gp</t>
  </si>
  <si>
    <t>black bear, 4 bandits</t>
  </si>
  <si>
    <t>Haunted Tomb</t>
  </si>
  <si>
    <t>goblin, ogre, specter, flying sword</t>
  </si>
  <si>
    <t>art = 100 gp, 2 rings = 50 gp</t>
  </si>
  <si>
    <t>Necromancer's Cave</t>
  </si>
  <si>
    <t>7 zombies, 7 skeletons, 5 crawling claws,  Oreioth</t>
  </si>
  <si>
    <t>wand of magic missiles, driftglobe</t>
  </si>
  <si>
    <t>gems = 200 gp</t>
  </si>
  <si>
    <t>Tomb of Moving Stones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</si>
</sst>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charset val="204"/>
      <scheme val="minor"/>
    </font>
    <font>
      <b/>
      <sz val="11"/>
      <color theme="1"/>
      <name val="Calibri"/>
      <family val="2"/>
      <charset val="204"/>
      <scheme val="minor"/>
    </font>
    <font>
      <sz val="11"/>
      <name val="Calibri"/>
      <family val="2"/>
      <charset val="204"/>
      <scheme val="minor"/>
    </font>
  </fonts>
  <fills count="6">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7"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0" fontId="0" fillId="0" borderId="0" xfId="0" applyAlignment="1">
      <alignment vertical="center"/>
    </xf>
    <xf numFmtId="0" fontId="0" fillId="0" borderId="0" xfId="0" applyAlignment="1">
      <alignment horizontal="center"/>
    </xf>
    <xf numFmtId="0" fontId="0" fillId="2" borderId="0" xfId="0" applyFill="1" applyAlignment="1">
      <alignment vertical="center"/>
    </xf>
    <xf numFmtId="0" fontId="0" fillId="2" borderId="0" xfId="0" applyFill="1"/>
    <xf numFmtId="0" fontId="2" fillId="2" borderId="0" xfId="0" applyFont="1" applyFill="1" applyAlignment="1">
      <alignment vertical="center"/>
    </xf>
    <xf numFmtId="0" fontId="2" fillId="2" borderId="0" xfId="0" applyFont="1" applyFill="1"/>
    <xf numFmtId="0" fontId="0" fillId="4" borderId="0" xfId="0" applyFill="1"/>
    <xf numFmtId="0" fontId="1" fillId="4" borderId="0" xfId="0" applyFont="1" applyFill="1" applyAlignment="1">
      <alignment vertical="center"/>
    </xf>
    <xf numFmtId="0" fontId="0" fillId="0" borderId="1" xfId="0" applyBorder="1"/>
    <xf numFmtId="0" fontId="0" fillId="5" borderId="1" xfId="0" applyFill="1" applyBorder="1"/>
    <xf numFmtId="0" fontId="0" fillId="3" borderId="1" xfId="0" applyFill="1" applyBorder="1"/>
    <xf numFmtId="0" fontId="0" fillId="0" borderId="0" xfId="0" applyAlignment="1"/>
    <xf numFmtId="0" fontId="0" fillId="0" borderId="0" xfId="0"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Тема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6"/>
  <sheetViews>
    <sheetView workbookViewId="0">
      <pane ySplit="1" topLeftCell="A2" activePane="bottomLeft" state="frozen"/>
      <selection pane="bottomLeft" activeCell="A3" sqref="A3:P3"/>
    </sheetView>
  </sheetViews>
  <sheetFormatPr defaultRowHeight="15" x14ac:dyDescent="0.25"/>
  <cols>
    <col min="1" max="1" width="24" bestFit="1" customWidth="1"/>
    <col min="2" max="2" width="24" customWidth="1"/>
    <col min="12" max="12" width="21.7109375" bestFit="1" customWidth="1"/>
  </cols>
  <sheetData>
    <row r="1" spans="1:16" x14ac:dyDescent="0.25">
      <c r="C1" s="13" t="s">
        <v>0</v>
      </c>
      <c r="D1" s="13"/>
      <c r="E1" s="13"/>
      <c r="F1" s="2" t="s">
        <v>47</v>
      </c>
      <c r="G1" t="s">
        <v>1</v>
      </c>
      <c r="H1" t="s">
        <v>33</v>
      </c>
      <c r="I1" t="s">
        <v>2</v>
      </c>
      <c r="J1" t="s">
        <v>3</v>
      </c>
      <c r="K1" t="s">
        <v>4</v>
      </c>
      <c r="L1" t="s">
        <v>5</v>
      </c>
      <c r="M1" t="s">
        <v>25</v>
      </c>
      <c r="N1" t="s">
        <v>27</v>
      </c>
      <c r="O1" t="s">
        <v>28</v>
      </c>
      <c r="P1" t="s">
        <v>51</v>
      </c>
    </row>
    <row r="2" spans="1:16" x14ac:dyDescent="0.25">
      <c r="C2" s="13" t="s">
        <v>45</v>
      </c>
      <c r="D2" s="13"/>
      <c r="E2" s="13"/>
      <c r="F2" s="2"/>
      <c r="G2" s="13" t="s">
        <v>46</v>
      </c>
      <c r="H2" s="13"/>
      <c r="I2" s="13"/>
      <c r="J2" s="13"/>
      <c r="K2" s="13"/>
      <c r="L2" s="13"/>
      <c r="M2" s="13"/>
      <c r="N2" s="13"/>
      <c r="O2" s="13"/>
    </row>
    <row r="3" spans="1:16" x14ac:dyDescent="0.25">
      <c r="A3" s="8" t="s">
        <v>100</v>
      </c>
      <c r="B3" s="8"/>
      <c r="C3" s="7"/>
      <c r="D3" s="7"/>
      <c r="E3" s="7"/>
      <c r="F3" s="7"/>
      <c r="G3" s="7"/>
      <c r="H3" s="7"/>
      <c r="I3" s="7"/>
      <c r="J3" s="7"/>
      <c r="K3" s="7"/>
      <c r="L3" s="7"/>
      <c r="M3" s="7"/>
      <c r="N3" s="7"/>
      <c r="O3" s="7"/>
      <c r="P3" s="7"/>
    </row>
    <row r="4" spans="1:16" x14ac:dyDescent="0.25">
      <c r="A4" s="1" t="s">
        <v>8</v>
      </c>
      <c r="B4" s="1"/>
      <c r="C4" s="1">
        <v>75</v>
      </c>
      <c r="D4" s="1"/>
      <c r="E4" s="1"/>
      <c r="F4" s="1"/>
    </row>
    <row r="5" spans="1:16" x14ac:dyDescent="0.25">
      <c r="A5" s="1" t="s">
        <v>9</v>
      </c>
      <c r="B5" s="1"/>
      <c r="C5" s="1">
        <v>275</v>
      </c>
      <c r="D5" s="1">
        <f>C5+C4</f>
        <v>350</v>
      </c>
      <c r="E5" s="1" t="s">
        <v>14</v>
      </c>
      <c r="F5">
        <v>3</v>
      </c>
      <c r="G5">
        <v>3</v>
      </c>
      <c r="I5">
        <v>125</v>
      </c>
      <c r="J5">
        <v>600</v>
      </c>
      <c r="K5" t="s">
        <v>6</v>
      </c>
      <c r="L5" t="s">
        <v>22</v>
      </c>
      <c r="M5" s="1"/>
    </row>
    <row r="6" spans="1:16" x14ac:dyDescent="0.25">
      <c r="A6" s="8" t="s">
        <v>99</v>
      </c>
      <c r="B6" s="8"/>
      <c r="C6" s="7"/>
      <c r="D6" s="7"/>
      <c r="E6" s="7"/>
      <c r="F6" s="7"/>
      <c r="G6" s="7">
        <f>G5+G4</f>
        <v>3</v>
      </c>
      <c r="H6" s="7">
        <f t="shared" ref="H6:J6" si="0">H5+H4</f>
        <v>0</v>
      </c>
      <c r="I6" s="7">
        <f t="shared" si="0"/>
        <v>125</v>
      </c>
      <c r="J6" s="7">
        <f t="shared" si="0"/>
        <v>600</v>
      </c>
      <c r="K6" s="7" t="s">
        <v>6</v>
      </c>
      <c r="L6" s="7" t="s">
        <v>43</v>
      </c>
      <c r="M6" s="7"/>
      <c r="N6" s="7"/>
      <c r="O6" s="7"/>
      <c r="P6" s="7"/>
    </row>
    <row r="7" spans="1:16" x14ac:dyDescent="0.25">
      <c r="A7" s="1" t="s">
        <v>10</v>
      </c>
      <c r="B7" s="1"/>
      <c r="C7" s="1">
        <v>75</v>
      </c>
      <c r="D7" s="1">
        <f>C7+D5</f>
        <v>425</v>
      </c>
      <c r="E7" s="1"/>
      <c r="F7" s="1"/>
    </row>
    <row r="8" spans="1:16" x14ac:dyDescent="0.25">
      <c r="A8" s="1" t="s">
        <v>11</v>
      </c>
      <c r="B8" s="1"/>
      <c r="M8" s="1"/>
    </row>
    <row r="9" spans="1:16" x14ac:dyDescent="0.25">
      <c r="A9" s="1" t="s">
        <v>12</v>
      </c>
      <c r="B9" s="1"/>
      <c r="C9" s="1"/>
      <c r="D9" s="1"/>
      <c r="E9" s="1"/>
      <c r="F9" s="1"/>
      <c r="G9">
        <v>50</v>
      </c>
      <c r="K9" t="s">
        <v>7</v>
      </c>
    </row>
    <row r="10" spans="1:16" x14ac:dyDescent="0.25">
      <c r="A10" s="1" t="s">
        <v>13</v>
      </c>
      <c r="B10" s="1"/>
      <c r="C10">
        <v>75</v>
      </c>
      <c r="D10">
        <f>C10+D7</f>
        <v>500</v>
      </c>
      <c r="G10">
        <v>12</v>
      </c>
      <c r="I10">
        <v>28</v>
      </c>
      <c r="J10">
        <v>15</v>
      </c>
      <c r="L10" t="s">
        <v>21</v>
      </c>
    </row>
    <row r="11" spans="1:16" x14ac:dyDescent="0.25">
      <c r="A11" s="1" t="s">
        <v>15</v>
      </c>
      <c r="B11" s="1"/>
      <c r="C11" s="1">
        <v>25</v>
      </c>
      <c r="D11">
        <f>C11+D10</f>
        <v>525</v>
      </c>
    </row>
    <row r="12" spans="1:16" x14ac:dyDescent="0.25">
      <c r="A12" s="1" t="s">
        <v>16</v>
      </c>
      <c r="B12" s="1"/>
      <c r="C12">
        <f>150/4</f>
        <v>37.5</v>
      </c>
      <c r="D12">
        <f>C12+D11</f>
        <v>562.5</v>
      </c>
      <c r="L12" t="s">
        <v>20</v>
      </c>
    </row>
    <row r="13" spans="1:16" x14ac:dyDescent="0.25">
      <c r="A13" s="1" t="s">
        <v>17</v>
      </c>
      <c r="B13" s="1"/>
      <c r="C13">
        <f>300/4</f>
        <v>75</v>
      </c>
      <c r="D13">
        <f>C13+D12</f>
        <v>637.5</v>
      </c>
    </row>
    <row r="14" spans="1:16" x14ac:dyDescent="0.25">
      <c r="A14" s="1" t="s">
        <v>18</v>
      </c>
      <c r="B14" s="1"/>
      <c r="L14" t="s">
        <v>19</v>
      </c>
    </row>
    <row r="15" spans="1:16" x14ac:dyDescent="0.25">
      <c r="A15" s="1" t="s">
        <v>23</v>
      </c>
      <c r="B15" s="1"/>
      <c r="C15">
        <f>450/4</f>
        <v>112.5</v>
      </c>
      <c r="D15">
        <f>C15+D13</f>
        <v>750</v>
      </c>
      <c r="G15">
        <v>120</v>
      </c>
      <c r="I15">
        <v>160</v>
      </c>
      <c r="K15" t="s">
        <v>6</v>
      </c>
      <c r="L15" t="s">
        <v>24</v>
      </c>
      <c r="M15" t="s">
        <v>26</v>
      </c>
      <c r="N15" t="s">
        <v>29</v>
      </c>
    </row>
    <row r="16" spans="1:16" x14ac:dyDescent="0.25">
      <c r="A16" s="1" t="s">
        <v>30</v>
      </c>
      <c r="B16" s="1"/>
      <c r="C16">
        <v>150</v>
      </c>
      <c r="D16">
        <f>C16+D15</f>
        <v>900</v>
      </c>
      <c r="I16">
        <v>33</v>
      </c>
      <c r="L16" t="s">
        <v>31</v>
      </c>
    </row>
    <row r="17" spans="1:16" x14ac:dyDescent="0.25">
      <c r="A17" s="1" t="s">
        <v>32</v>
      </c>
      <c r="B17" s="1"/>
      <c r="C17">
        <v>100</v>
      </c>
      <c r="D17">
        <f>C17+D16</f>
        <v>1000</v>
      </c>
      <c r="G17">
        <v>15</v>
      </c>
      <c r="H17">
        <v>22</v>
      </c>
      <c r="I17">
        <v>55</v>
      </c>
      <c r="J17">
        <v>75</v>
      </c>
      <c r="L17" t="s">
        <v>34</v>
      </c>
    </row>
    <row r="18" spans="1:16" x14ac:dyDescent="0.25">
      <c r="A18" s="1" t="s">
        <v>35</v>
      </c>
      <c r="B18" s="1"/>
      <c r="L18" t="s">
        <v>36</v>
      </c>
    </row>
    <row r="19" spans="1:16" x14ac:dyDescent="0.25">
      <c r="A19" s="1" t="s">
        <v>37</v>
      </c>
      <c r="B19" s="1"/>
      <c r="C19">
        <v>100</v>
      </c>
      <c r="D19">
        <f>C19+D17</f>
        <v>1100</v>
      </c>
      <c r="G19">
        <v>130</v>
      </c>
      <c r="I19">
        <v>180</v>
      </c>
      <c r="L19" t="s">
        <v>38</v>
      </c>
      <c r="M19" t="s">
        <v>39</v>
      </c>
      <c r="N19" t="s">
        <v>40</v>
      </c>
    </row>
    <row r="20" spans="1:16" x14ac:dyDescent="0.25">
      <c r="A20" s="3" t="s">
        <v>97</v>
      </c>
      <c r="B20" s="3"/>
      <c r="C20" s="4"/>
      <c r="D20" s="4"/>
      <c r="E20" s="4"/>
      <c r="F20" s="4">
        <f>SUM(F7:F19)</f>
        <v>0</v>
      </c>
      <c r="G20" s="4">
        <f>SUM(G7:G19)</f>
        <v>327</v>
      </c>
      <c r="H20" s="4">
        <f>SUM(H7:H19)</f>
        <v>22</v>
      </c>
      <c r="I20" s="4">
        <f>SUM(I7:I19)</f>
        <v>456</v>
      </c>
      <c r="J20" s="4">
        <f>SUM(J7:J19)</f>
        <v>90</v>
      </c>
      <c r="K20" s="4" t="s">
        <v>42</v>
      </c>
      <c r="L20" s="4" t="s">
        <v>44</v>
      </c>
      <c r="M20" s="4" t="s">
        <v>159</v>
      </c>
      <c r="N20" s="4" t="s">
        <v>160</v>
      </c>
      <c r="O20" s="4"/>
      <c r="P20" s="4"/>
    </row>
    <row r="21" spans="1:16" x14ac:dyDescent="0.25">
      <c r="A21" s="8" t="s">
        <v>98</v>
      </c>
      <c r="B21" s="8"/>
      <c r="C21" s="7"/>
      <c r="D21" s="7"/>
      <c r="E21" s="7"/>
      <c r="F21" s="7"/>
      <c r="G21" s="7"/>
      <c r="H21" s="7"/>
      <c r="I21" s="7"/>
      <c r="J21" s="7"/>
      <c r="K21" s="7"/>
      <c r="L21" s="7"/>
      <c r="M21" s="7"/>
      <c r="N21" s="7"/>
      <c r="O21" s="7"/>
      <c r="P21" s="7"/>
    </row>
    <row r="22" spans="1:16" x14ac:dyDescent="0.25">
      <c r="A22" s="1" t="s">
        <v>62</v>
      </c>
      <c r="B22" s="1"/>
      <c r="C22">
        <v>50</v>
      </c>
      <c r="D22">
        <f>C22+D19</f>
        <v>1150</v>
      </c>
    </row>
    <row r="23" spans="1:16" x14ac:dyDescent="0.25">
      <c r="A23" s="1" t="s">
        <v>63</v>
      </c>
      <c r="B23" s="1"/>
      <c r="C23">
        <v>200</v>
      </c>
      <c r="D23">
        <f>C23+D22</f>
        <v>1350</v>
      </c>
      <c r="F23">
        <v>5</v>
      </c>
      <c r="G23">
        <v>20</v>
      </c>
      <c r="H23">
        <v>20</v>
      </c>
      <c r="I23">
        <v>35</v>
      </c>
      <c r="K23" t="s">
        <v>49</v>
      </c>
      <c r="L23" t="s">
        <v>48</v>
      </c>
      <c r="M23" t="s">
        <v>50</v>
      </c>
      <c r="P23" t="s">
        <v>52</v>
      </c>
    </row>
    <row r="24" spans="1:16" x14ac:dyDescent="0.25">
      <c r="A24" s="1" t="s">
        <v>64</v>
      </c>
      <c r="B24" s="1"/>
    </row>
    <row r="25" spans="1:16" x14ac:dyDescent="0.25">
      <c r="A25" s="1" t="s">
        <v>65</v>
      </c>
      <c r="B25" s="1"/>
      <c r="C25">
        <f>50/4</f>
        <v>12.5</v>
      </c>
      <c r="D25">
        <f>C25+D23</f>
        <v>1362.5</v>
      </c>
    </row>
    <row r="26" spans="1:16" x14ac:dyDescent="0.25">
      <c r="A26" s="1" t="s">
        <v>66</v>
      </c>
      <c r="B26" s="1"/>
      <c r="C26">
        <f>C25</f>
        <v>12.5</v>
      </c>
      <c r="D26">
        <f>C26+D25</f>
        <v>1375</v>
      </c>
      <c r="G26">
        <v>90</v>
      </c>
      <c r="I26">
        <v>160</v>
      </c>
      <c r="J26">
        <v>700</v>
      </c>
    </row>
    <row r="27" spans="1:16" x14ac:dyDescent="0.25">
      <c r="A27" s="1" t="s">
        <v>67</v>
      </c>
      <c r="B27" s="1"/>
      <c r="C27">
        <v>50</v>
      </c>
      <c r="D27">
        <f>D26+C27</f>
        <v>1425</v>
      </c>
    </row>
    <row r="28" spans="1:16" x14ac:dyDescent="0.25">
      <c r="A28" s="1" t="s">
        <v>68</v>
      </c>
      <c r="B28" s="1"/>
      <c r="C28">
        <v>50</v>
      </c>
      <c r="D28">
        <f>C28+D27</f>
        <v>1475</v>
      </c>
    </row>
    <row r="29" spans="1:16" x14ac:dyDescent="0.25">
      <c r="A29" s="1" t="s">
        <v>69</v>
      </c>
      <c r="B29" s="1"/>
      <c r="C29">
        <v>100</v>
      </c>
      <c r="D29">
        <f>C29+D28</f>
        <v>1575</v>
      </c>
      <c r="G29">
        <v>23</v>
      </c>
      <c r="I29">
        <v>35</v>
      </c>
      <c r="K29" t="s">
        <v>49</v>
      </c>
    </row>
    <row r="30" spans="1:16" x14ac:dyDescent="0.25">
      <c r="A30" s="1" t="s">
        <v>70</v>
      </c>
      <c r="B30" s="1"/>
      <c r="C30">
        <f>2000/4</f>
        <v>500</v>
      </c>
      <c r="D30">
        <f>C30+D29</f>
        <v>2075</v>
      </c>
      <c r="G30">
        <v>150</v>
      </c>
      <c r="I30">
        <v>800</v>
      </c>
      <c r="L30" t="s">
        <v>53</v>
      </c>
      <c r="M30" t="s">
        <v>54</v>
      </c>
      <c r="N30" t="s">
        <v>55</v>
      </c>
    </row>
    <row r="31" spans="1:16" x14ac:dyDescent="0.25">
      <c r="A31" s="1" t="s">
        <v>71</v>
      </c>
      <c r="B31" s="1"/>
      <c r="C31">
        <v>25</v>
      </c>
      <c r="D31">
        <f>C31+D30</f>
        <v>2100</v>
      </c>
    </row>
    <row r="32" spans="1:16" x14ac:dyDescent="0.25">
      <c r="A32" s="1" t="s">
        <v>72</v>
      </c>
      <c r="B32" s="1"/>
      <c r="L32" t="s">
        <v>56</v>
      </c>
    </row>
    <row r="33" spans="1:16" x14ac:dyDescent="0.25">
      <c r="A33" s="1" t="s">
        <v>73</v>
      </c>
      <c r="B33" s="1"/>
      <c r="C33">
        <f>250/4</f>
        <v>62.5</v>
      </c>
      <c r="D33">
        <f>C33+D31</f>
        <v>2162.5</v>
      </c>
    </row>
    <row r="34" spans="1:16" x14ac:dyDescent="0.25">
      <c r="A34" s="1" t="s">
        <v>74</v>
      </c>
      <c r="B34" s="1"/>
      <c r="C34">
        <f>150/4</f>
        <v>37.5</v>
      </c>
      <c r="D34">
        <f>C34+D33</f>
        <v>2200</v>
      </c>
    </row>
    <row r="35" spans="1:16" x14ac:dyDescent="0.25">
      <c r="A35" s="1" t="s">
        <v>75</v>
      </c>
      <c r="B35" s="1"/>
      <c r="C35">
        <f>150/4</f>
        <v>37.5</v>
      </c>
      <c r="D35">
        <f>C35+D34</f>
        <v>2237.5</v>
      </c>
      <c r="K35" t="s">
        <v>58</v>
      </c>
      <c r="L35" t="s">
        <v>57</v>
      </c>
    </row>
    <row r="36" spans="1:16" x14ac:dyDescent="0.25">
      <c r="A36" s="3" t="s">
        <v>59</v>
      </c>
      <c r="B36" s="3"/>
      <c r="C36" s="4">
        <f>SUM(C25:C35)</f>
        <v>887.5</v>
      </c>
      <c r="D36" s="4"/>
      <c r="E36" s="4"/>
      <c r="F36" s="4">
        <f>SUM(F25:F35)</f>
        <v>0</v>
      </c>
      <c r="G36" s="4">
        <f>SUM(G25:G35)</f>
        <v>263</v>
      </c>
      <c r="H36" s="4">
        <f>SUM(H25:H35)</f>
        <v>0</v>
      </c>
      <c r="I36" s="4">
        <f>SUM(I25:I35)</f>
        <v>995</v>
      </c>
      <c r="J36" s="4">
        <f>SUM(J25:J35)</f>
        <v>700</v>
      </c>
      <c r="K36" s="4" t="s">
        <v>60</v>
      </c>
      <c r="L36" s="4" t="s">
        <v>61</v>
      </c>
      <c r="M36" s="4" t="s">
        <v>54</v>
      </c>
      <c r="N36" s="4" t="s">
        <v>55</v>
      </c>
      <c r="O36" s="4"/>
      <c r="P36" s="4" t="s">
        <v>52</v>
      </c>
    </row>
    <row r="37" spans="1:16" x14ac:dyDescent="0.25">
      <c r="A37" s="1" t="s">
        <v>76</v>
      </c>
      <c r="B37" s="1"/>
    </row>
    <row r="38" spans="1:16" x14ac:dyDescent="0.25">
      <c r="A38" s="1" t="s">
        <v>77</v>
      </c>
      <c r="B38" s="1"/>
      <c r="C38">
        <f>1250/4</f>
        <v>312.5</v>
      </c>
      <c r="D38">
        <f>C38+D35</f>
        <v>2550</v>
      </c>
      <c r="G38">
        <v>30</v>
      </c>
      <c r="H38">
        <v>62</v>
      </c>
      <c r="I38">
        <v>180</v>
      </c>
      <c r="J38">
        <v>750</v>
      </c>
    </row>
    <row r="39" spans="1:16" x14ac:dyDescent="0.25">
      <c r="A39" s="1" t="s">
        <v>78</v>
      </c>
      <c r="B39" s="1"/>
    </row>
    <row r="40" spans="1:16" x14ac:dyDescent="0.25">
      <c r="A40" s="1" t="s">
        <v>79</v>
      </c>
      <c r="B40" s="1"/>
      <c r="C40">
        <v>25</v>
      </c>
      <c r="D40">
        <f>C40+D38</f>
        <v>2575</v>
      </c>
    </row>
    <row r="41" spans="1:16" x14ac:dyDescent="0.25">
      <c r="A41" s="1" t="s">
        <v>80</v>
      </c>
      <c r="B41" s="1"/>
      <c r="C41">
        <f>2*100/4</f>
        <v>50</v>
      </c>
      <c r="D41">
        <f>C41+D40</f>
        <v>2625</v>
      </c>
    </row>
    <row r="42" spans="1:16" x14ac:dyDescent="0.25">
      <c r="A42" s="1" t="s">
        <v>81</v>
      </c>
      <c r="B42" s="1"/>
      <c r="C42">
        <f>150/4</f>
        <v>37.5</v>
      </c>
      <c r="D42">
        <f>C42+D41</f>
        <v>2662.5</v>
      </c>
    </row>
    <row r="43" spans="1:16" x14ac:dyDescent="0.25">
      <c r="A43" s="1" t="s">
        <v>82</v>
      </c>
      <c r="B43" s="1"/>
      <c r="C43">
        <v>100</v>
      </c>
      <c r="D43">
        <f>C43+D42</f>
        <v>2762.5</v>
      </c>
      <c r="N43" t="s">
        <v>83</v>
      </c>
    </row>
    <row r="44" spans="1:16" x14ac:dyDescent="0.25">
      <c r="A44" s="1" t="s">
        <v>84</v>
      </c>
      <c r="B44" s="1"/>
      <c r="C44">
        <v>100</v>
      </c>
      <c r="D44">
        <f>C44+D43</f>
        <v>2862.5</v>
      </c>
    </row>
    <row r="45" spans="1:16" x14ac:dyDescent="0.25">
      <c r="A45" s="1" t="s">
        <v>85</v>
      </c>
      <c r="B45" s="1"/>
      <c r="C45">
        <f>450/4</f>
        <v>112.5</v>
      </c>
      <c r="D45">
        <f>C45+D44</f>
        <v>2975</v>
      </c>
      <c r="L45" t="s">
        <v>86</v>
      </c>
    </row>
    <row r="46" spans="1:16" x14ac:dyDescent="0.25">
      <c r="A46" s="1" t="s">
        <v>87</v>
      </c>
      <c r="B46" s="1"/>
      <c r="C46">
        <f>150/4</f>
        <v>37.5</v>
      </c>
      <c r="D46">
        <f>D45+C46</f>
        <v>3012.5</v>
      </c>
      <c r="L46" t="s">
        <v>88</v>
      </c>
    </row>
    <row r="47" spans="1:16" x14ac:dyDescent="0.25">
      <c r="A47" s="1" t="s">
        <v>89</v>
      </c>
      <c r="B47" s="1"/>
      <c r="C47">
        <v>50</v>
      </c>
      <c r="D47">
        <f>C47+D46</f>
        <v>3062.5</v>
      </c>
    </row>
    <row r="48" spans="1:16" x14ac:dyDescent="0.25">
      <c r="A48" s="1" t="s">
        <v>90</v>
      </c>
      <c r="B48" s="1"/>
      <c r="C48">
        <f>700/4</f>
        <v>175</v>
      </c>
      <c r="D48">
        <f>C48+D47</f>
        <v>3237.5</v>
      </c>
      <c r="G48">
        <v>120</v>
      </c>
      <c r="H48">
        <v>90</v>
      </c>
      <c r="K48" t="s">
        <v>49</v>
      </c>
      <c r="M48" t="s">
        <v>91</v>
      </c>
    </row>
    <row r="49" spans="1:16" x14ac:dyDescent="0.25">
      <c r="A49" s="1" t="s">
        <v>92</v>
      </c>
      <c r="B49" s="1"/>
      <c r="C49">
        <f>1150/4</f>
        <v>287.5</v>
      </c>
      <c r="D49">
        <f t="shared" ref="D49" si="1">C49+D48</f>
        <v>3525</v>
      </c>
      <c r="H49">
        <v>160</v>
      </c>
      <c r="I49">
        <v>220</v>
      </c>
      <c r="K49" t="s">
        <v>93</v>
      </c>
    </row>
    <row r="50" spans="1:16" x14ac:dyDescent="0.25">
      <c r="A50" s="5" t="s">
        <v>94</v>
      </c>
      <c r="B50" s="5"/>
      <c r="C50" s="6">
        <f>SUM(C40:C49)</f>
        <v>975</v>
      </c>
      <c r="D50" s="6"/>
      <c r="E50" s="6"/>
      <c r="F50" s="6">
        <f t="shared" ref="F50:J50" si="2">SUM(F40:F49)</f>
        <v>0</v>
      </c>
      <c r="G50" s="6">
        <f t="shared" si="2"/>
        <v>120</v>
      </c>
      <c r="H50" s="6">
        <f t="shared" si="2"/>
        <v>250</v>
      </c>
      <c r="I50" s="6">
        <f t="shared" si="2"/>
        <v>220</v>
      </c>
      <c r="J50" s="6">
        <f t="shared" si="2"/>
        <v>0</v>
      </c>
      <c r="K50" s="6" t="s">
        <v>95</v>
      </c>
      <c r="L50" s="6" t="s">
        <v>96</v>
      </c>
      <c r="M50" s="6" t="s">
        <v>91</v>
      </c>
      <c r="N50" s="6" t="s">
        <v>83</v>
      </c>
      <c r="O50" s="6"/>
      <c r="P50" s="6"/>
    </row>
    <row r="51" spans="1:16" x14ac:dyDescent="0.25">
      <c r="A51" s="8" t="s">
        <v>101</v>
      </c>
      <c r="B51" s="8"/>
      <c r="C51" s="7"/>
      <c r="D51" s="7"/>
      <c r="E51" s="7"/>
      <c r="F51" s="7"/>
      <c r="G51" s="7"/>
      <c r="H51" s="7"/>
      <c r="I51" s="7"/>
      <c r="J51" s="7"/>
      <c r="K51" s="7"/>
      <c r="L51" s="7"/>
      <c r="M51" s="7"/>
      <c r="N51" s="7"/>
      <c r="O51" s="7"/>
      <c r="P51" s="7"/>
    </row>
    <row r="52" spans="1:16" x14ac:dyDescent="0.25">
      <c r="A52" s="1" t="s">
        <v>102</v>
      </c>
      <c r="B52" s="1"/>
      <c r="C52">
        <f>500/4</f>
        <v>125</v>
      </c>
      <c r="D52">
        <f>C52+D49</f>
        <v>3650</v>
      </c>
    </row>
    <row r="53" spans="1:16" x14ac:dyDescent="0.25">
      <c r="A53" s="1" t="s">
        <v>103</v>
      </c>
      <c r="B53" s="1"/>
    </row>
    <row r="54" spans="1:16" x14ac:dyDescent="0.25">
      <c r="A54" s="1" t="s">
        <v>104</v>
      </c>
      <c r="B54" s="1"/>
      <c r="P54" t="s">
        <v>105</v>
      </c>
    </row>
    <row r="55" spans="1:16" x14ac:dyDescent="0.25">
      <c r="A55" s="1" t="s">
        <v>121</v>
      </c>
      <c r="B55" s="1" t="s">
        <v>122</v>
      </c>
      <c r="C55">
        <f>450/4</f>
        <v>112.5</v>
      </c>
      <c r="D55">
        <f>C55+D52</f>
        <v>3762.5</v>
      </c>
    </row>
    <row r="56" spans="1:16" x14ac:dyDescent="0.25">
      <c r="A56" s="1" t="s">
        <v>125</v>
      </c>
      <c r="B56" t="s">
        <v>126</v>
      </c>
      <c r="C56">
        <f>25*10/4</f>
        <v>62.5</v>
      </c>
      <c r="D56">
        <f>C56+D55</f>
        <v>3825</v>
      </c>
    </row>
    <row r="57" spans="1:16" x14ac:dyDescent="0.25">
      <c r="A57" s="1" t="s">
        <v>124</v>
      </c>
      <c r="B57" s="1" t="s">
        <v>123</v>
      </c>
      <c r="C57">
        <f>450/4</f>
        <v>112.5</v>
      </c>
      <c r="D57">
        <f>C57+D56</f>
        <v>3937.5</v>
      </c>
    </row>
    <row r="58" spans="1:16" x14ac:dyDescent="0.25">
      <c r="A58" s="1" t="s">
        <v>106</v>
      </c>
      <c r="B58" s="1"/>
      <c r="D58">
        <f>C58+D57</f>
        <v>3937.5</v>
      </c>
      <c r="G58">
        <v>60</v>
      </c>
      <c r="H58">
        <v>90</v>
      </c>
      <c r="I58">
        <v>180</v>
      </c>
      <c r="J58">
        <v>600</v>
      </c>
    </row>
    <row r="59" spans="1:16" x14ac:dyDescent="0.25">
      <c r="A59" s="1" t="s">
        <v>127</v>
      </c>
      <c r="B59" s="1" t="s">
        <v>128</v>
      </c>
      <c r="C59">
        <f>600/4</f>
        <v>150</v>
      </c>
      <c r="D59">
        <f>C59+D58</f>
        <v>4087.5</v>
      </c>
    </row>
    <row r="60" spans="1:16" x14ac:dyDescent="0.25">
      <c r="A60" s="1" t="s">
        <v>129</v>
      </c>
      <c r="B60" s="1"/>
      <c r="D60">
        <f t="shared" ref="D60:D73" si="3">C60+D59</f>
        <v>4087.5</v>
      </c>
    </row>
    <row r="61" spans="1:16" x14ac:dyDescent="0.25">
      <c r="A61" s="1" t="s">
        <v>130</v>
      </c>
      <c r="B61" s="1"/>
      <c r="D61">
        <f t="shared" si="3"/>
        <v>4087.5</v>
      </c>
    </row>
    <row r="62" spans="1:16" x14ac:dyDescent="0.25">
      <c r="A62" s="1" t="s">
        <v>131</v>
      </c>
      <c r="B62" s="1" t="s">
        <v>132</v>
      </c>
      <c r="C62">
        <f>1400/4</f>
        <v>350</v>
      </c>
      <c r="D62">
        <f t="shared" si="3"/>
        <v>4437.5</v>
      </c>
      <c r="P62" t="s">
        <v>109</v>
      </c>
    </row>
    <row r="63" spans="1:16" x14ac:dyDescent="0.25">
      <c r="A63" s="1" t="s">
        <v>107</v>
      </c>
      <c r="B63" s="1"/>
      <c r="D63">
        <f t="shared" si="3"/>
        <v>4437.5</v>
      </c>
      <c r="L63" t="s">
        <v>108</v>
      </c>
    </row>
    <row r="64" spans="1:16" x14ac:dyDescent="0.25">
      <c r="A64" s="1" t="s">
        <v>110</v>
      </c>
      <c r="B64" s="1" t="s">
        <v>133</v>
      </c>
      <c r="D64">
        <f t="shared" si="3"/>
        <v>4437.5</v>
      </c>
      <c r="H64">
        <v>13</v>
      </c>
      <c r="J64">
        <v>15</v>
      </c>
      <c r="K64" t="s">
        <v>111</v>
      </c>
    </row>
    <row r="65" spans="1:16" x14ac:dyDescent="0.25">
      <c r="A65" s="1" t="s">
        <v>134</v>
      </c>
      <c r="B65" s="1" t="s">
        <v>135</v>
      </c>
      <c r="C65">
        <f>(1100+50*8)/4</f>
        <v>375</v>
      </c>
      <c r="D65">
        <f t="shared" si="3"/>
        <v>4812.5</v>
      </c>
    </row>
    <row r="66" spans="1:16" x14ac:dyDescent="0.25">
      <c r="A66" s="1" t="s">
        <v>136</v>
      </c>
      <c r="B66" s="1"/>
      <c r="D66">
        <f t="shared" si="3"/>
        <v>4812.5</v>
      </c>
    </row>
    <row r="67" spans="1:16" x14ac:dyDescent="0.25">
      <c r="A67" s="1" t="s">
        <v>112</v>
      </c>
      <c r="B67" s="1" t="s">
        <v>137</v>
      </c>
      <c r="C67">
        <f>700/4</f>
        <v>175</v>
      </c>
      <c r="D67">
        <f t="shared" si="3"/>
        <v>4987.5</v>
      </c>
      <c r="H67">
        <v>50</v>
      </c>
      <c r="I67">
        <v>160</v>
      </c>
      <c r="J67">
        <v>1100</v>
      </c>
      <c r="L67" t="s">
        <v>113</v>
      </c>
    </row>
    <row r="68" spans="1:16" x14ac:dyDescent="0.25">
      <c r="A68" s="1" t="s">
        <v>114</v>
      </c>
      <c r="B68" s="1" t="s">
        <v>138</v>
      </c>
      <c r="C68">
        <f>700/4</f>
        <v>175</v>
      </c>
      <c r="D68">
        <f t="shared" si="3"/>
        <v>5162.5</v>
      </c>
      <c r="N68" t="s">
        <v>115</v>
      </c>
      <c r="O68" t="s">
        <v>116</v>
      </c>
    </row>
    <row r="69" spans="1:16" x14ac:dyDescent="0.25">
      <c r="A69" s="1" t="s">
        <v>139</v>
      </c>
      <c r="B69" s="1"/>
      <c r="D69">
        <f t="shared" si="3"/>
        <v>5162.5</v>
      </c>
    </row>
    <row r="70" spans="1:16" x14ac:dyDescent="0.25">
      <c r="A70" s="1" t="s">
        <v>140</v>
      </c>
      <c r="B70" s="1"/>
      <c r="D70">
        <f t="shared" si="3"/>
        <v>5162.5</v>
      </c>
    </row>
    <row r="71" spans="1:16" x14ac:dyDescent="0.25">
      <c r="A71" s="1" t="s">
        <v>117</v>
      </c>
      <c r="B71" s="1" t="s">
        <v>141</v>
      </c>
      <c r="C71">
        <f>(700+3*200)/4</f>
        <v>325</v>
      </c>
      <c r="D71">
        <f t="shared" si="3"/>
        <v>5487.5</v>
      </c>
      <c r="P71" t="s">
        <v>118</v>
      </c>
    </row>
    <row r="72" spans="1:16" x14ac:dyDescent="0.25">
      <c r="A72" s="1" t="s">
        <v>142</v>
      </c>
      <c r="B72" s="1" t="s">
        <v>143</v>
      </c>
      <c r="C72">
        <f>(450+800)/4</f>
        <v>312.5</v>
      </c>
      <c r="D72">
        <f t="shared" si="3"/>
        <v>5800</v>
      </c>
      <c r="F72">
        <v>15</v>
      </c>
      <c r="G72">
        <v>130</v>
      </c>
      <c r="H72">
        <v>190</v>
      </c>
      <c r="K72" t="s">
        <v>49</v>
      </c>
      <c r="L72" t="s">
        <v>120</v>
      </c>
      <c r="N72" t="s">
        <v>119</v>
      </c>
    </row>
    <row r="73" spans="1:16" x14ac:dyDescent="0.25">
      <c r="A73" s="1" t="s">
        <v>144</v>
      </c>
      <c r="C73">
        <v>50</v>
      </c>
      <c r="D73">
        <f t="shared" si="3"/>
        <v>5850</v>
      </c>
    </row>
    <row r="74" spans="1:16" x14ac:dyDescent="0.25">
      <c r="A74" s="3" t="s">
        <v>145</v>
      </c>
      <c r="B74" s="4"/>
      <c r="C74" s="4">
        <f>SUM(C54:C73)</f>
        <v>2200</v>
      </c>
      <c r="D74" s="4"/>
      <c r="E74" s="4"/>
      <c r="F74" s="4">
        <f>SUM(F54:F73)</f>
        <v>15</v>
      </c>
      <c r="G74" s="4">
        <f>SUM(G54:G73)</f>
        <v>190</v>
      </c>
      <c r="H74" s="4">
        <f>SUM(H54:H73)</f>
        <v>343</v>
      </c>
      <c r="I74" s="4">
        <f>SUM(I54:I73)</f>
        <v>340</v>
      </c>
      <c r="J74" s="4">
        <f>SUM(J54:J73)</f>
        <v>1715</v>
      </c>
      <c r="K74" s="4" t="s">
        <v>146</v>
      </c>
      <c r="L74" s="4" t="s">
        <v>147</v>
      </c>
      <c r="M74" s="4"/>
      <c r="N74" s="4" t="s">
        <v>148</v>
      </c>
      <c r="O74" s="4" t="s">
        <v>116</v>
      </c>
      <c r="P74" s="4" t="s">
        <v>166</v>
      </c>
    </row>
    <row r="75" spans="1:16" x14ac:dyDescent="0.25">
      <c r="A75" s="1" t="s">
        <v>150</v>
      </c>
      <c r="C75">
        <f>6500-5700</f>
        <v>800</v>
      </c>
      <c r="D75">
        <f>C75+D73</f>
        <v>6650</v>
      </c>
    </row>
    <row r="76" spans="1:16" x14ac:dyDescent="0.25">
      <c r="A76" s="8" t="s">
        <v>149</v>
      </c>
      <c r="B76" s="8"/>
      <c r="C76" s="7"/>
      <c r="D76" s="7"/>
      <c r="E76" s="7"/>
      <c r="F76" s="7"/>
      <c r="G76" s="7"/>
      <c r="H76" s="7"/>
      <c r="I76" s="7"/>
      <c r="J76" s="7"/>
      <c r="K76" s="7"/>
      <c r="L76" s="7"/>
      <c r="M76" s="7"/>
      <c r="N76" s="7"/>
      <c r="O76" s="7"/>
      <c r="P76" s="7"/>
    </row>
  </sheetData>
  <mergeCells count="3">
    <mergeCell ref="C1:E1"/>
    <mergeCell ref="C2:E2"/>
    <mergeCell ref="G2:O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tabSelected="1" workbookViewId="0">
      <selection activeCell="M11" sqref="A1:M11"/>
    </sheetView>
  </sheetViews>
  <sheetFormatPr defaultRowHeight="15" x14ac:dyDescent="0.25"/>
  <cols>
    <col min="6" max="6" width="11.42578125" customWidth="1"/>
  </cols>
  <sheetData>
    <row r="1" spans="1:15" x14ac:dyDescent="0.25">
      <c r="A1" t="s">
        <v>165</v>
      </c>
    </row>
    <row r="2" spans="1:15" x14ac:dyDescent="0.25">
      <c r="A2" s="9"/>
      <c r="B2" s="9" t="s">
        <v>47</v>
      </c>
      <c r="C2" s="9" t="s">
        <v>1</v>
      </c>
      <c r="D2" s="9" t="s">
        <v>33</v>
      </c>
      <c r="E2" s="9" t="s">
        <v>2</v>
      </c>
      <c r="F2" s="9" t="s">
        <v>3</v>
      </c>
      <c r="G2" s="9" t="s">
        <v>152</v>
      </c>
      <c r="H2" s="9" t="s">
        <v>5</v>
      </c>
      <c r="I2" s="9"/>
      <c r="J2" s="9" t="s">
        <v>4</v>
      </c>
      <c r="K2" s="9" t="s">
        <v>153</v>
      </c>
      <c r="L2" s="9" t="s">
        <v>27</v>
      </c>
      <c r="M2" s="9" t="s">
        <v>28</v>
      </c>
      <c r="N2" s="9" t="s">
        <v>51</v>
      </c>
    </row>
    <row r="3" spans="1:15" x14ac:dyDescent="0.25">
      <c r="A3" s="11" t="s">
        <v>154</v>
      </c>
      <c r="B3" s="11"/>
      <c r="C3" s="11"/>
      <c r="D3" s="11"/>
      <c r="E3" s="11"/>
      <c r="F3" s="11"/>
      <c r="G3" s="11"/>
      <c r="H3" s="11"/>
      <c r="I3" s="11"/>
      <c r="J3" s="11"/>
      <c r="K3" s="11"/>
      <c r="L3" s="11"/>
      <c r="M3" s="11"/>
      <c r="N3" s="11"/>
    </row>
    <row r="4" spans="1:15" x14ac:dyDescent="0.25">
      <c r="A4" s="11" t="s">
        <v>151</v>
      </c>
      <c r="B4" s="11">
        <f>энкаунтеры!F6</f>
        <v>0</v>
      </c>
      <c r="C4" s="11">
        <f>энкаунтеры!G6</f>
        <v>3</v>
      </c>
      <c r="D4" s="11">
        <f>энкаунтеры!H6</f>
        <v>0</v>
      </c>
      <c r="E4" s="11">
        <f>энкаунтеры!I6</f>
        <v>125</v>
      </c>
      <c r="F4" s="11">
        <f>энкаунтеры!J6</f>
        <v>600</v>
      </c>
      <c r="G4" s="11">
        <f>B4*10+C4+D4/2+E4/10+F4/100</f>
        <v>21.5</v>
      </c>
      <c r="H4" s="11">
        <v>40</v>
      </c>
      <c r="I4" s="11"/>
      <c r="J4" s="11" t="str">
        <f>энкаунтеры!K6</f>
        <v>2 healing</v>
      </c>
      <c r="K4" s="11"/>
      <c r="L4" s="11"/>
      <c r="M4" s="11"/>
      <c r="N4" s="11"/>
    </row>
    <row r="5" spans="1:15" x14ac:dyDescent="0.25">
      <c r="A5" s="10"/>
      <c r="B5" s="10">
        <f>B4/4</f>
        <v>0</v>
      </c>
      <c r="C5" s="10">
        <f t="shared" ref="C5:H5" si="0">C4/4</f>
        <v>0.75</v>
      </c>
      <c r="D5" s="10">
        <f t="shared" si="0"/>
        <v>0</v>
      </c>
      <c r="E5" s="10">
        <f t="shared" si="0"/>
        <v>31.25</v>
      </c>
      <c r="F5" s="10">
        <f t="shared" si="0"/>
        <v>150</v>
      </c>
      <c r="G5" s="10">
        <f t="shared" si="0"/>
        <v>5.375</v>
      </c>
      <c r="H5" s="10">
        <f t="shared" si="0"/>
        <v>10</v>
      </c>
      <c r="I5" s="10">
        <f>G5+H5</f>
        <v>15.375</v>
      </c>
      <c r="J5" s="10" t="s">
        <v>168</v>
      </c>
      <c r="K5" s="10"/>
      <c r="L5" s="10"/>
      <c r="M5" s="10"/>
      <c r="N5" s="10"/>
    </row>
    <row r="6" spans="1:15" x14ac:dyDescent="0.25">
      <c r="A6" s="11" t="s">
        <v>155</v>
      </c>
      <c r="B6" s="11">
        <f>энкаунтеры!F20+свод!B4</f>
        <v>0</v>
      </c>
      <c r="C6" s="11">
        <f>энкаунтеры!G20+свод!C4</f>
        <v>330</v>
      </c>
      <c r="D6" s="11">
        <f>энкаунтеры!H20+свод!D4</f>
        <v>22</v>
      </c>
      <c r="E6" s="11">
        <f>энкаунтеры!I20+свод!E4</f>
        <v>581</v>
      </c>
      <c r="F6" s="11">
        <f>энкаунтеры!J20+свод!F4</f>
        <v>690</v>
      </c>
      <c r="G6" s="11">
        <f>B6*10+C6+D6/2+E6/10+F6/100</f>
        <v>406</v>
      </c>
      <c r="H6" s="11">
        <v>580</v>
      </c>
      <c r="I6" s="11"/>
      <c r="J6" s="11" t="s">
        <v>158</v>
      </c>
      <c r="K6" s="11" t="s">
        <v>171</v>
      </c>
      <c r="L6" s="11" t="s">
        <v>160</v>
      </c>
      <c r="M6" s="11"/>
      <c r="N6" s="11"/>
    </row>
    <row r="7" spans="1:15" x14ac:dyDescent="0.25">
      <c r="A7" s="10"/>
      <c r="B7" s="10">
        <f>B6/4</f>
        <v>0</v>
      </c>
      <c r="C7" s="10">
        <f t="shared" ref="C7" si="1">C6/4</f>
        <v>82.5</v>
      </c>
      <c r="D7" s="10">
        <f t="shared" ref="D7" si="2">D6/4</f>
        <v>5.5</v>
      </c>
      <c r="E7" s="10">
        <f t="shared" ref="E7" si="3">E6/4</f>
        <v>145.25</v>
      </c>
      <c r="F7" s="10">
        <f t="shared" ref="F7" si="4">F6/4</f>
        <v>172.5</v>
      </c>
      <c r="G7" s="10">
        <f t="shared" ref="G7" si="5">G6/4</f>
        <v>101.5</v>
      </c>
      <c r="H7" s="10">
        <f t="shared" ref="H7" si="6">H6/4</f>
        <v>145</v>
      </c>
      <c r="I7" s="10">
        <f>G7+H7</f>
        <v>246.5</v>
      </c>
      <c r="J7" s="10" t="s">
        <v>169</v>
      </c>
      <c r="K7" s="10" t="s">
        <v>172</v>
      </c>
      <c r="L7" s="10"/>
      <c r="M7" s="10"/>
      <c r="N7" s="10"/>
    </row>
    <row r="8" spans="1:15" x14ac:dyDescent="0.25">
      <c r="A8" s="11" t="s">
        <v>156</v>
      </c>
      <c r="B8" s="11">
        <f>B6+энкаунтеры!F22+энкаунтеры!F23+энкаунтеры!F36+энкаунтеры!F50</f>
        <v>5</v>
      </c>
      <c r="C8" s="11">
        <f>C6+энкаунтеры!G22+энкаунтеры!G23+энкаунтеры!G36+энкаунтеры!G50</f>
        <v>733</v>
      </c>
      <c r="D8" s="11">
        <f>D6+энкаунтеры!H22+энкаунтеры!H23+энкаунтеры!H36+энкаунтеры!H50</f>
        <v>292</v>
      </c>
      <c r="E8" s="11">
        <f>E6+энкаунтеры!I22+энкаунтеры!I23+энкаунтеры!I36+энкаунтеры!I50</f>
        <v>1831</v>
      </c>
      <c r="F8" s="11">
        <f>F6+энкаунтеры!J22+энкаунтеры!J23+энкаунтеры!J36+энкаунтеры!J50</f>
        <v>1390</v>
      </c>
      <c r="G8" s="11">
        <f>B8*10+C8+D8/2+E8/10+F8/100</f>
        <v>1126</v>
      </c>
      <c r="H8" s="11">
        <f>840+430+H6</f>
        <v>1850</v>
      </c>
      <c r="I8" s="11"/>
      <c r="J8" s="11" t="s">
        <v>161</v>
      </c>
      <c r="K8" s="11" t="s">
        <v>173</v>
      </c>
      <c r="L8" s="11" t="s">
        <v>162</v>
      </c>
      <c r="M8" s="11"/>
      <c r="N8" s="11" t="s">
        <v>52</v>
      </c>
    </row>
    <row r="9" spans="1:15" x14ac:dyDescent="0.25">
      <c r="A9" s="10"/>
      <c r="B9" s="10">
        <f>B8/4</f>
        <v>1.25</v>
      </c>
      <c r="C9" s="10">
        <f t="shared" ref="C9" si="7">C8/4</f>
        <v>183.25</v>
      </c>
      <c r="D9" s="10">
        <f t="shared" ref="D9" si="8">D8/4</f>
        <v>73</v>
      </c>
      <c r="E9" s="10">
        <f t="shared" ref="E9" si="9">E8/4</f>
        <v>457.75</v>
      </c>
      <c r="F9" s="10">
        <f t="shared" ref="F9" si="10">F8/4</f>
        <v>347.5</v>
      </c>
      <c r="G9" s="10">
        <f t="shared" ref="G9" si="11">G8/4</f>
        <v>281.5</v>
      </c>
      <c r="H9" s="10">
        <f t="shared" ref="H9" si="12">H8/4</f>
        <v>462.5</v>
      </c>
      <c r="I9" s="10">
        <f>G9+H9</f>
        <v>744</v>
      </c>
      <c r="J9" s="10" t="s">
        <v>170</v>
      </c>
      <c r="K9" s="10" t="s">
        <v>174</v>
      </c>
      <c r="L9" s="10" t="s">
        <v>178</v>
      </c>
      <c r="M9" s="10"/>
      <c r="N9" s="10" t="s">
        <v>179</v>
      </c>
    </row>
    <row r="10" spans="1:15" x14ac:dyDescent="0.25">
      <c r="A10" s="11" t="s">
        <v>157</v>
      </c>
      <c r="B10" s="11">
        <f>B8+энкаунтеры!F74</f>
        <v>20</v>
      </c>
      <c r="C10" s="11">
        <f>C8+энкаунтеры!G74</f>
        <v>923</v>
      </c>
      <c r="D10" s="11">
        <f>D8+энкаунтеры!H74</f>
        <v>635</v>
      </c>
      <c r="E10" s="11">
        <f>E8+энкаунтеры!I74</f>
        <v>2171</v>
      </c>
      <c r="F10" s="11">
        <f>F8+энкаунтеры!J74</f>
        <v>3105</v>
      </c>
      <c r="G10" s="11">
        <f>B10*10+C10+D10/2+E10/10+F10/100</f>
        <v>1688.6499999999999</v>
      </c>
      <c r="H10" s="11">
        <f>790+H8</f>
        <v>2640</v>
      </c>
      <c r="I10" s="11"/>
      <c r="J10" s="11" t="s">
        <v>164</v>
      </c>
      <c r="K10" s="11" t="s">
        <v>173</v>
      </c>
      <c r="L10" s="11" t="s">
        <v>163</v>
      </c>
      <c r="M10" s="11" t="s">
        <v>116</v>
      </c>
      <c r="N10" s="11" t="s">
        <v>167</v>
      </c>
    </row>
    <row r="11" spans="1:15" x14ac:dyDescent="0.25">
      <c r="A11" s="10"/>
      <c r="B11" s="10">
        <f>B10/4</f>
        <v>5</v>
      </c>
      <c r="C11" s="10">
        <f t="shared" ref="C11" si="13">C10/4</f>
        <v>230.75</v>
      </c>
      <c r="D11" s="10">
        <f t="shared" ref="D11" si="14">D10/4</f>
        <v>158.75</v>
      </c>
      <c r="E11" s="10">
        <f t="shared" ref="E11" si="15">E10/4</f>
        <v>542.75</v>
      </c>
      <c r="F11" s="10">
        <f t="shared" ref="F11" si="16">F10/4</f>
        <v>776.25</v>
      </c>
      <c r="G11" s="10">
        <f t="shared" ref="G11" si="17">G10/4</f>
        <v>422.16249999999997</v>
      </c>
      <c r="H11" s="10">
        <f t="shared" ref="H11" si="18">H10/4</f>
        <v>660</v>
      </c>
      <c r="I11" s="10">
        <f>G11+H11</f>
        <v>1082.1624999999999</v>
      </c>
      <c r="J11" s="10" t="s">
        <v>175</v>
      </c>
      <c r="K11" s="10" t="s">
        <v>174</v>
      </c>
      <c r="L11" s="10" t="s">
        <v>177</v>
      </c>
      <c r="M11" s="10" t="s">
        <v>176</v>
      </c>
      <c r="N11" s="10" t="s">
        <v>180</v>
      </c>
    </row>
    <row r="14" spans="1:15" x14ac:dyDescent="0.25">
      <c r="B14" t="s">
        <v>181</v>
      </c>
      <c r="F14" t="s">
        <v>200</v>
      </c>
      <c r="L14" t="s">
        <v>193</v>
      </c>
      <c r="M14" t="s">
        <v>190</v>
      </c>
      <c r="N14" t="s">
        <v>191</v>
      </c>
      <c r="O14" t="s">
        <v>192</v>
      </c>
    </row>
    <row r="15" spans="1:15" x14ac:dyDescent="0.25">
      <c r="L15" t="s">
        <v>185</v>
      </c>
      <c r="M15">
        <v>1</v>
      </c>
      <c r="N15">
        <v>50</v>
      </c>
      <c r="O15">
        <v>100</v>
      </c>
    </row>
    <row r="16" spans="1:15" x14ac:dyDescent="0.25">
      <c r="B16" t="s">
        <v>196</v>
      </c>
      <c r="C16" t="s">
        <v>195</v>
      </c>
      <c r="D16">
        <v>12</v>
      </c>
      <c r="F16" t="s">
        <v>201</v>
      </c>
      <c r="G16" t="s">
        <v>202</v>
      </c>
      <c r="L16" t="s">
        <v>186</v>
      </c>
      <c r="M16">
        <v>1</v>
      </c>
      <c r="N16">
        <v>101</v>
      </c>
      <c r="O16">
        <v>500</v>
      </c>
    </row>
    <row r="17" spans="2:15" x14ac:dyDescent="0.25">
      <c r="B17" t="s">
        <v>197</v>
      </c>
      <c r="C17" t="s">
        <v>194</v>
      </c>
      <c r="D17">
        <v>1</v>
      </c>
      <c r="F17" t="s">
        <v>204</v>
      </c>
      <c r="G17" t="s">
        <v>203</v>
      </c>
      <c r="L17" t="s">
        <v>187</v>
      </c>
      <c r="M17">
        <v>5</v>
      </c>
      <c r="N17">
        <v>501</v>
      </c>
      <c r="O17">
        <v>5000</v>
      </c>
    </row>
    <row r="18" spans="2:15" x14ac:dyDescent="0.25">
      <c r="B18" t="s">
        <v>198</v>
      </c>
      <c r="C18" t="s">
        <v>194</v>
      </c>
      <c r="D18">
        <v>1</v>
      </c>
      <c r="F18" t="s">
        <v>205</v>
      </c>
      <c r="G18" t="s">
        <v>203</v>
      </c>
      <c r="L18" t="s">
        <v>188</v>
      </c>
      <c r="M18">
        <v>11</v>
      </c>
      <c r="N18">
        <v>5001</v>
      </c>
      <c r="O18">
        <v>50000</v>
      </c>
    </row>
    <row r="19" spans="2:15" x14ac:dyDescent="0.25">
      <c r="B19" t="s">
        <v>199</v>
      </c>
      <c r="C19" t="s">
        <v>194</v>
      </c>
      <c r="D19">
        <v>1</v>
      </c>
      <c r="F19" t="s">
        <v>206</v>
      </c>
      <c r="G19" t="s">
        <v>203</v>
      </c>
      <c r="L19" t="s">
        <v>189</v>
      </c>
      <c r="M19">
        <v>17</v>
      </c>
      <c r="N19">
        <v>50001</v>
      </c>
    </row>
    <row r="20" spans="2:15" x14ac:dyDescent="0.25">
      <c r="B20" t="s">
        <v>182</v>
      </c>
      <c r="C20" t="s">
        <v>195</v>
      </c>
      <c r="D20">
        <v>1</v>
      </c>
      <c r="F20" t="s">
        <v>207</v>
      </c>
      <c r="G20" t="s">
        <v>202</v>
      </c>
    </row>
    <row r="21" spans="2:15" x14ac:dyDescent="0.25">
      <c r="B21" t="s">
        <v>183</v>
      </c>
      <c r="C21" t="s">
        <v>203</v>
      </c>
      <c r="D21">
        <v>4</v>
      </c>
      <c r="F21" t="s">
        <v>208</v>
      </c>
      <c r="G21" t="s">
        <v>203</v>
      </c>
    </row>
    <row r="22" spans="2:15" x14ac:dyDescent="0.25">
      <c r="B22" t="s">
        <v>184</v>
      </c>
      <c r="C22" t="s">
        <v>203</v>
      </c>
      <c r="D22">
        <v>2</v>
      </c>
      <c r="F22" t="s">
        <v>209</v>
      </c>
      <c r="G22" t="s">
        <v>203</v>
      </c>
    </row>
    <row r="23" spans="2:15" x14ac:dyDescent="0.25">
      <c r="F23" t="s">
        <v>210</v>
      </c>
      <c r="G23" t="s">
        <v>203</v>
      </c>
    </row>
    <row r="24" spans="2:15" x14ac:dyDescent="0.25">
      <c r="F24" t="s">
        <v>211</v>
      </c>
      <c r="G24" t="s">
        <v>202</v>
      </c>
    </row>
    <row r="25" spans="2:15" x14ac:dyDescent="0.25">
      <c r="F25" t="s">
        <v>212</v>
      </c>
      <c r="G25" t="s">
        <v>203</v>
      </c>
    </row>
    <row r="26" spans="2:15" x14ac:dyDescent="0.25">
      <c r="F26" t="s">
        <v>213</v>
      </c>
      <c r="G26" t="s">
        <v>195</v>
      </c>
    </row>
    <row r="28" spans="2:15" x14ac:dyDescent="0.25">
      <c r="C28" t="s">
        <v>185</v>
      </c>
      <c r="D28">
        <v>13</v>
      </c>
      <c r="G28" t="s">
        <v>185</v>
      </c>
      <c r="H28">
        <v>1</v>
      </c>
    </row>
    <row r="29" spans="2:15" x14ac:dyDescent="0.25">
      <c r="C29" t="s">
        <v>186</v>
      </c>
      <c r="D29">
        <v>6</v>
      </c>
      <c r="G29" t="s">
        <v>186</v>
      </c>
      <c r="H29">
        <v>7</v>
      </c>
    </row>
    <row r="30" spans="2:15" x14ac:dyDescent="0.25">
      <c r="C30" t="s">
        <v>187</v>
      </c>
      <c r="D30">
        <v>0</v>
      </c>
      <c r="G30" t="s">
        <v>187</v>
      </c>
      <c r="H30">
        <v>3</v>
      </c>
    </row>
    <row r="31" spans="2:15" x14ac:dyDescent="0.25">
      <c r="C31" t="s">
        <v>188</v>
      </c>
      <c r="D31">
        <v>3</v>
      </c>
    </row>
    <row r="33" spans="3:8" x14ac:dyDescent="0.25">
      <c r="C33" t="s">
        <v>214</v>
      </c>
    </row>
    <row r="35" spans="3:8" x14ac:dyDescent="0.25">
      <c r="C35" t="s">
        <v>185</v>
      </c>
      <c r="D35">
        <f>D28/4</f>
        <v>3.25</v>
      </c>
      <c r="G35" t="s">
        <v>185</v>
      </c>
      <c r="H35">
        <f>H28/4</f>
        <v>0.25</v>
      </c>
    </row>
    <row r="36" spans="3:8" x14ac:dyDescent="0.25">
      <c r="C36" t="s">
        <v>186</v>
      </c>
      <c r="D36">
        <f t="shared" ref="D36:D38" si="19">D29/4</f>
        <v>1.5</v>
      </c>
      <c r="G36" t="s">
        <v>186</v>
      </c>
      <c r="H36">
        <f>H29/4</f>
        <v>1.75</v>
      </c>
    </row>
    <row r="37" spans="3:8" x14ac:dyDescent="0.25">
      <c r="C37" t="s">
        <v>187</v>
      </c>
      <c r="D37">
        <f t="shared" si="19"/>
        <v>0</v>
      </c>
      <c r="G37" t="s">
        <v>187</v>
      </c>
      <c r="H37">
        <f>H30/4</f>
        <v>0.75</v>
      </c>
    </row>
    <row r="38" spans="3:8" x14ac:dyDescent="0.25">
      <c r="C38" t="s">
        <v>188</v>
      </c>
      <c r="D38">
        <f t="shared" si="19"/>
        <v>0.75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workbookViewId="0">
      <pane ySplit="1" topLeftCell="A26" activePane="bottomLeft" state="frozen"/>
      <selection activeCell="C35" sqref="C35:D38"/>
      <selection pane="bottomLeft" activeCell="C35" sqref="C35:D38"/>
    </sheetView>
  </sheetViews>
  <sheetFormatPr defaultRowHeight="15" x14ac:dyDescent="0.25"/>
  <cols>
    <col min="2" max="2" width="19.5703125" bestFit="1" customWidth="1"/>
  </cols>
  <sheetData>
    <row r="1" spans="1:19" x14ac:dyDescent="0.25">
      <c r="B1" t="s">
        <v>312</v>
      </c>
      <c r="C1" s="2" t="s">
        <v>0</v>
      </c>
      <c r="D1" s="12" t="s">
        <v>216</v>
      </c>
      <c r="E1" s="13" t="s">
        <v>222</v>
      </c>
      <c r="F1" s="13"/>
      <c r="G1" s="13" t="s">
        <v>306</v>
      </c>
      <c r="H1" t="s">
        <v>4</v>
      </c>
      <c r="I1" t="s">
        <v>5</v>
      </c>
      <c r="J1" t="s">
        <v>25</v>
      </c>
      <c r="K1" t="s">
        <v>27</v>
      </c>
      <c r="L1" t="s">
        <v>28</v>
      </c>
      <c r="M1" t="s">
        <v>51</v>
      </c>
      <c r="N1" s="13" t="s">
        <v>217</v>
      </c>
      <c r="O1" s="13"/>
      <c r="P1" s="13"/>
      <c r="Q1" s="13"/>
      <c r="R1" s="13"/>
      <c r="S1" t="s">
        <v>238</v>
      </c>
    </row>
    <row r="2" spans="1:19" x14ac:dyDescent="0.25">
      <c r="C2" s="2" t="s">
        <v>45</v>
      </c>
      <c r="D2" s="12"/>
      <c r="E2" s="12" t="s">
        <v>0</v>
      </c>
      <c r="F2" s="12" t="s">
        <v>216</v>
      </c>
      <c r="G2" s="13"/>
      <c r="N2" t="s">
        <v>233</v>
      </c>
      <c r="O2" t="s">
        <v>232</v>
      </c>
      <c r="P2" t="s">
        <v>229</v>
      </c>
      <c r="Q2" t="s">
        <v>230</v>
      </c>
      <c r="R2" t="s">
        <v>231</v>
      </c>
    </row>
    <row r="3" spans="1:19" x14ac:dyDescent="0.25">
      <c r="A3" s="8" t="s">
        <v>100</v>
      </c>
      <c r="B3" s="8"/>
      <c r="C3" s="7"/>
      <c r="D3" s="7"/>
      <c r="E3" s="7"/>
      <c r="F3" s="7"/>
      <c r="G3" s="7"/>
      <c r="H3" s="7"/>
      <c r="I3" s="7"/>
      <c r="J3" s="7"/>
      <c r="K3" s="7"/>
      <c r="L3" s="7"/>
      <c r="M3" s="7"/>
      <c r="N3" s="7"/>
      <c r="O3" s="7"/>
      <c r="P3" s="7"/>
      <c r="Q3" s="7"/>
      <c r="R3" s="7"/>
      <c r="S3" s="7"/>
    </row>
    <row r="4" spans="1:19" x14ac:dyDescent="0.25">
      <c r="A4" t="s">
        <v>215</v>
      </c>
    </row>
    <row r="5" spans="1:19" x14ac:dyDescent="0.25">
      <c r="A5" t="s">
        <v>218</v>
      </c>
      <c r="C5">
        <v>100</v>
      </c>
      <c r="D5">
        <v>5</v>
      </c>
      <c r="E5">
        <v>100</v>
      </c>
      <c r="F5">
        <v>5</v>
      </c>
      <c r="G5">
        <v>200</v>
      </c>
      <c r="H5" t="s">
        <v>219</v>
      </c>
      <c r="N5">
        <v>1</v>
      </c>
    </row>
    <row r="6" spans="1:19" x14ac:dyDescent="0.25">
      <c r="A6" s="12" t="s">
        <v>220</v>
      </c>
      <c r="C6">
        <v>100</v>
      </c>
      <c r="D6">
        <v>5</v>
      </c>
      <c r="E6">
        <v>100</v>
      </c>
      <c r="F6">
        <v>5</v>
      </c>
      <c r="G6">
        <v>150</v>
      </c>
      <c r="I6" t="s">
        <v>221</v>
      </c>
      <c r="O6">
        <v>1</v>
      </c>
    </row>
    <row r="7" spans="1:19" x14ac:dyDescent="0.25">
      <c r="A7" s="12" t="s">
        <v>223</v>
      </c>
      <c r="C7">
        <v>100</v>
      </c>
      <c r="D7">
        <v>5</v>
      </c>
      <c r="E7">
        <v>100</v>
      </c>
      <c r="F7">
        <v>5</v>
      </c>
      <c r="G7">
        <v>100</v>
      </c>
      <c r="J7" t="s">
        <v>224</v>
      </c>
      <c r="P7">
        <v>1</v>
      </c>
    </row>
    <row r="8" spans="1:19" x14ac:dyDescent="0.25">
      <c r="A8" s="12" t="s">
        <v>225</v>
      </c>
      <c r="C8">
        <v>100</v>
      </c>
      <c r="D8">
        <v>5</v>
      </c>
      <c r="E8">
        <v>100</v>
      </c>
      <c r="F8">
        <v>5</v>
      </c>
      <c r="G8">
        <v>100</v>
      </c>
      <c r="H8" t="s">
        <v>219</v>
      </c>
      <c r="I8" t="s">
        <v>226</v>
      </c>
      <c r="Q8">
        <v>1</v>
      </c>
    </row>
    <row r="9" spans="1:19" x14ac:dyDescent="0.25">
      <c r="A9" s="12" t="s">
        <v>227</v>
      </c>
      <c r="C9">
        <v>100</v>
      </c>
      <c r="D9">
        <v>5</v>
      </c>
      <c r="E9">
        <v>100</v>
      </c>
      <c r="F9">
        <v>5</v>
      </c>
      <c r="G9">
        <v>100</v>
      </c>
      <c r="H9" t="s">
        <v>219</v>
      </c>
      <c r="I9" t="s">
        <v>228</v>
      </c>
      <c r="R9">
        <v>1</v>
      </c>
    </row>
    <row r="10" spans="1:19" x14ac:dyDescent="0.25">
      <c r="A10" s="8" t="s">
        <v>99</v>
      </c>
      <c r="B10" s="8"/>
      <c r="C10" s="7"/>
      <c r="D10" s="7"/>
      <c r="E10" s="7"/>
      <c r="F10" s="7"/>
      <c r="G10" s="7"/>
      <c r="H10" s="7"/>
      <c r="I10" s="7"/>
      <c r="J10" s="7"/>
      <c r="K10" s="7"/>
      <c r="L10" s="7"/>
      <c r="M10" s="7"/>
      <c r="N10" s="7"/>
      <c r="O10" s="7"/>
      <c r="P10" s="7"/>
      <c r="Q10" s="7"/>
      <c r="R10" s="7"/>
      <c r="S10" s="7"/>
    </row>
    <row r="11" spans="1:19" x14ac:dyDescent="0.25">
      <c r="A11" s="12" t="s">
        <v>234</v>
      </c>
      <c r="C11">
        <v>600</v>
      </c>
      <c r="D11">
        <v>10</v>
      </c>
      <c r="E11">
        <v>300</v>
      </c>
      <c r="F11">
        <v>10</v>
      </c>
      <c r="G11">
        <v>205</v>
      </c>
      <c r="I11" t="s">
        <v>235</v>
      </c>
      <c r="L11" t="s">
        <v>236</v>
      </c>
      <c r="M11" t="s">
        <v>237</v>
      </c>
      <c r="N11">
        <v>2</v>
      </c>
      <c r="O11">
        <v>1</v>
      </c>
      <c r="P11">
        <v>1</v>
      </c>
      <c r="Q11">
        <v>1</v>
      </c>
      <c r="R11">
        <v>1</v>
      </c>
    </row>
    <row r="13" spans="1:19" x14ac:dyDescent="0.25">
      <c r="A13" t="s">
        <v>239</v>
      </c>
      <c r="C13">
        <v>600</v>
      </c>
      <c r="D13">
        <v>10</v>
      </c>
      <c r="E13">
        <v>300</v>
      </c>
      <c r="F13">
        <v>10</v>
      </c>
      <c r="G13">
        <v>75</v>
      </c>
      <c r="H13" t="s">
        <v>242</v>
      </c>
      <c r="I13" t="s">
        <v>240</v>
      </c>
      <c r="M13" t="s">
        <v>241</v>
      </c>
      <c r="N13">
        <v>1</v>
      </c>
      <c r="O13">
        <v>1</v>
      </c>
      <c r="P13">
        <v>2</v>
      </c>
      <c r="Q13">
        <v>2</v>
      </c>
      <c r="R13">
        <v>2</v>
      </c>
    </row>
    <row r="15" spans="1:19" x14ac:dyDescent="0.25">
      <c r="A15" t="s">
        <v>243</v>
      </c>
      <c r="C15">
        <v>600</v>
      </c>
      <c r="D15">
        <v>10</v>
      </c>
      <c r="E15">
        <v>200</v>
      </c>
      <c r="F15">
        <v>10</v>
      </c>
      <c r="G15">
        <f>100+20+5+25+45</f>
        <v>195</v>
      </c>
      <c r="I15" t="s">
        <v>244</v>
      </c>
      <c r="M15" t="s">
        <v>245</v>
      </c>
      <c r="N15">
        <v>1</v>
      </c>
      <c r="O15">
        <v>1</v>
      </c>
      <c r="P15">
        <v>1</v>
      </c>
      <c r="Q15">
        <v>1</v>
      </c>
      <c r="R15">
        <v>1</v>
      </c>
      <c r="S15" t="s">
        <v>246</v>
      </c>
    </row>
    <row r="17" spans="1:19" x14ac:dyDescent="0.25">
      <c r="A17" t="s">
        <v>247</v>
      </c>
      <c r="C17">
        <v>600</v>
      </c>
      <c r="D17">
        <v>10</v>
      </c>
      <c r="E17">
        <v>200</v>
      </c>
      <c r="F17">
        <v>10</v>
      </c>
      <c r="G17">
        <f>50+100+150+5+10</f>
        <v>315</v>
      </c>
      <c r="I17" t="s">
        <v>248</v>
      </c>
      <c r="J17" t="s">
        <v>250</v>
      </c>
      <c r="M17" t="s">
        <v>249</v>
      </c>
      <c r="N17">
        <v>1</v>
      </c>
      <c r="O17">
        <v>2</v>
      </c>
      <c r="P17">
        <v>1</v>
      </c>
      <c r="Q17">
        <v>1</v>
      </c>
      <c r="R17">
        <v>1</v>
      </c>
    </row>
    <row r="18" spans="1:19" x14ac:dyDescent="0.25">
      <c r="A18" s="8" t="s">
        <v>98</v>
      </c>
      <c r="B18" s="8"/>
      <c r="C18" s="7"/>
      <c r="D18" s="7"/>
      <c r="E18" s="7"/>
      <c r="F18" s="7"/>
      <c r="G18" s="7"/>
      <c r="H18" s="7"/>
      <c r="I18" s="7"/>
      <c r="J18" s="7"/>
      <c r="K18" s="7"/>
      <c r="L18" s="7"/>
      <c r="M18" s="7"/>
      <c r="N18" s="7"/>
      <c r="O18" s="7"/>
      <c r="P18" s="7"/>
      <c r="Q18" s="7"/>
      <c r="R18" s="7"/>
      <c r="S18" s="7"/>
    </row>
    <row r="19" spans="1:19" x14ac:dyDescent="0.25">
      <c r="A19" t="s">
        <v>251</v>
      </c>
      <c r="C19">
        <v>600</v>
      </c>
      <c r="D19">
        <v>10</v>
      </c>
      <c r="E19">
        <v>200</v>
      </c>
      <c r="F19">
        <v>10</v>
      </c>
      <c r="G19">
        <f>15+25+25+25+35+50+50+75</f>
        <v>300</v>
      </c>
      <c r="H19" t="s">
        <v>254</v>
      </c>
      <c r="I19" t="s">
        <v>253</v>
      </c>
      <c r="L19" t="s">
        <v>236</v>
      </c>
      <c r="M19" t="s">
        <v>252</v>
      </c>
      <c r="N19">
        <v>2</v>
      </c>
      <c r="O19">
        <v>2</v>
      </c>
      <c r="P19">
        <v>2</v>
      </c>
      <c r="Q19">
        <v>2</v>
      </c>
      <c r="R19">
        <v>2</v>
      </c>
      <c r="S19" t="s">
        <v>255</v>
      </c>
    </row>
    <row r="21" spans="1:19" x14ac:dyDescent="0.25">
      <c r="A21" t="s">
        <v>256</v>
      </c>
      <c r="C21">
        <v>750</v>
      </c>
      <c r="D21">
        <v>10</v>
      </c>
      <c r="E21">
        <v>200</v>
      </c>
      <c r="F21">
        <v>10</v>
      </c>
      <c r="G21">
        <f>12+57+256+150</f>
        <v>475</v>
      </c>
      <c r="I21" t="s">
        <v>257</v>
      </c>
      <c r="J21" t="s">
        <v>259</v>
      </c>
      <c r="M21" t="s">
        <v>258</v>
      </c>
      <c r="N21">
        <v>1</v>
      </c>
      <c r="O21">
        <v>1</v>
      </c>
      <c r="P21">
        <v>1</v>
      </c>
      <c r="Q21">
        <v>2</v>
      </c>
      <c r="R21">
        <v>1</v>
      </c>
    </row>
    <row r="23" spans="1:19" x14ac:dyDescent="0.25">
      <c r="A23" t="s">
        <v>262</v>
      </c>
      <c r="C23">
        <v>750</v>
      </c>
      <c r="D23">
        <v>10</v>
      </c>
      <c r="E23">
        <v>200</v>
      </c>
      <c r="F23">
        <v>10</v>
      </c>
      <c r="G23">
        <f>250+300+50+50+50+50+35+15</f>
        <v>800</v>
      </c>
      <c r="J23" t="s">
        <v>261</v>
      </c>
      <c r="M23" t="s">
        <v>260</v>
      </c>
      <c r="N23">
        <v>1</v>
      </c>
      <c r="O23">
        <v>1</v>
      </c>
      <c r="P23">
        <v>1</v>
      </c>
      <c r="Q23">
        <v>2</v>
      </c>
      <c r="R23">
        <v>1</v>
      </c>
    </row>
    <row r="25" spans="1:19" x14ac:dyDescent="0.25">
      <c r="A25" t="s">
        <v>263</v>
      </c>
      <c r="C25">
        <v>600</v>
      </c>
      <c r="D25">
        <v>10</v>
      </c>
      <c r="E25">
        <v>200</v>
      </c>
      <c r="F25">
        <v>10</v>
      </c>
      <c r="G25">
        <f>100+75+75+50+50+50+25+25+25+25</f>
        <v>500</v>
      </c>
      <c r="I25" t="s">
        <v>264</v>
      </c>
      <c r="K25" t="s">
        <v>265</v>
      </c>
      <c r="N25">
        <v>2</v>
      </c>
      <c r="O25">
        <v>2</v>
      </c>
      <c r="P25">
        <v>2</v>
      </c>
      <c r="Q25">
        <v>2</v>
      </c>
      <c r="R25">
        <v>2</v>
      </c>
    </row>
    <row r="27" spans="1:19" x14ac:dyDescent="0.25">
      <c r="A27" t="s">
        <v>267</v>
      </c>
      <c r="C27">
        <f>12*C23</f>
        <v>9000</v>
      </c>
      <c r="D27">
        <f>12*D25</f>
        <v>120</v>
      </c>
      <c r="E27">
        <f>12*E23</f>
        <v>2400</v>
      </c>
      <c r="F27">
        <f>12*F25</f>
        <v>120</v>
      </c>
      <c r="G27">
        <f>12*G25</f>
        <v>6000</v>
      </c>
    </row>
    <row r="29" spans="1:19" x14ac:dyDescent="0.25">
      <c r="A29" s="8" t="s">
        <v>268</v>
      </c>
      <c r="B29" s="8"/>
      <c r="C29" s="7"/>
      <c r="D29" s="7"/>
      <c r="E29" s="7"/>
      <c r="F29" s="7"/>
      <c r="G29" s="7"/>
      <c r="H29" s="7"/>
      <c r="I29" s="7"/>
      <c r="J29" s="7"/>
      <c r="K29" s="7"/>
      <c r="L29" s="7"/>
      <c r="M29" s="7"/>
      <c r="N29" s="7"/>
      <c r="O29" s="7"/>
      <c r="P29" s="7"/>
      <c r="Q29" s="7"/>
      <c r="R29" s="7"/>
      <c r="S29" s="7"/>
    </row>
    <row r="31" spans="1:19" x14ac:dyDescent="0.25">
      <c r="A31" t="s">
        <v>266</v>
      </c>
      <c r="C31">
        <v>4000</v>
      </c>
      <c r="D31">
        <v>10</v>
      </c>
      <c r="E31">
        <v>400</v>
      </c>
      <c r="F31">
        <v>10</v>
      </c>
      <c r="G31">
        <f>1000+300+200+200+100</f>
        <v>1800</v>
      </c>
      <c r="H31" t="s">
        <v>270</v>
      </c>
      <c r="I31" t="s">
        <v>276</v>
      </c>
      <c r="J31" t="s">
        <v>271</v>
      </c>
      <c r="M31" t="s">
        <v>269</v>
      </c>
      <c r="N31">
        <v>2</v>
      </c>
      <c r="O31">
        <v>1</v>
      </c>
      <c r="P31">
        <v>2</v>
      </c>
      <c r="Q31">
        <v>1</v>
      </c>
      <c r="R31">
        <v>1</v>
      </c>
      <c r="S31" t="s">
        <v>272</v>
      </c>
    </row>
    <row r="33" spans="1:19" x14ac:dyDescent="0.25">
      <c r="A33" t="s">
        <v>273</v>
      </c>
      <c r="C33">
        <v>10000</v>
      </c>
      <c r="D33">
        <v>20</v>
      </c>
      <c r="E33">
        <v>800</v>
      </c>
      <c r="F33">
        <v>20</v>
      </c>
      <c r="G33">
        <v>2600</v>
      </c>
      <c r="H33" t="s">
        <v>275</v>
      </c>
      <c r="I33" t="s">
        <v>276</v>
      </c>
      <c r="J33" t="s">
        <v>277</v>
      </c>
      <c r="M33" t="s">
        <v>274</v>
      </c>
      <c r="N33">
        <v>1</v>
      </c>
      <c r="O33">
        <v>2</v>
      </c>
      <c r="P33">
        <v>1</v>
      </c>
      <c r="Q33">
        <v>1</v>
      </c>
      <c r="R33">
        <v>1</v>
      </c>
    </row>
    <row r="35" spans="1:19" x14ac:dyDescent="0.25">
      <c r="A35" s="8" t="s">
        <v>278</v>
      </c>
      <c r="B35" s="8"/>
      <c r="C35" s="7"/>
      <c r="D35" s="7"/>
      <c r="E35" s="7"/>
      <c r="F35" s="7"/>
      <c r="G35" s="7"/>
      <c r="H35" s="7"/>
      <c r="I35" s="7"/>
      <c r="J35" s="7"/>
      <c r="K35" s="7"/>
      <c r="L35" s="7"/>
      <c r="M35" s="7"/>
      <c r="N35" s="7"/>
      <c r="O35" s="7"/>
      <c r="P35" s="7"/>
      <c r="Q35" s="7"/>
      <c r="R35" s="7"/>
      <c r="S35" s="7"/>
    </row>
    <row r="37" spans="1:19" x14ac:dyDescent="0.25">
      <c r="A37" t="s">
        <v>279</v>
      </c>
      <c r="C37">
        <v>5000</v>
      </c>
      <c r="D37">
        <v>10</v>
      </c>
      <c r="E37">
        <v>400</v>
      </c>
      <c r="F37">
        <v>10</v>
      </c>
      <c r="G37">
        <f>75+400+300+225+4200+1700</f>
        <v>6900</v>
      </c>
      <c r="H37" t="s">
        <v>282</v>
      </c>
      <c r="J37" t="s">
        <v>281</v>
      </c>
      <c r="L37" t="s">
        <v>280</v>
      </c>
      <c r="N37">
        <v>2</v>
      </c>
      <c r="O37">
        <v>2</v>
      </c>
      <c r="P37">
        <v>2</v>
      </c>
      <c r="Q37">
        <v>2</v>
      </c>
      <c r="R37">
        <v>2</v>
      </c>
      <c r="S37" t="s">
        <v>283</v>
      </c>
    </row>
    <row r="40" spans="1:19" x14ac:dyDescent="0.25">
      <c r="A40" s="8" t="s">
        <v>285</v>
      </c>
      <c r="B40" s="8"/>
      <c r="C40" s="7"/>
      <c r="D40" s="7"/>
      <c r="E40" s="7"/>
      <c r="F40" s="7"/>
      <c r="G40" s="7"/>
      <c r="H40" s="7"/>
      <c r="I40" s="7"/>
      <c r="J40" s="7"/>
      <c r="K40" s="7"/>
      <c r="L40" s="7"/>
      <c r="M40" s="7"/>
      <c r="N40" s="7"/>
      <c r="O40" s="7"/>
      <c r="P40" s="7"/>
      <c r="Q40" s="7"/>
      <c r="R40" s="7"/>
      <c r="S40" s="7"/>
    </row>
    <row r="42" spans="1:19" x14ac:dyDescent="0.25">
      <c r="A42" t="s">
        <v>284</v>
      </c>
      <c r="C42">
        <v>6000</v>
      </c>
      <c r="D42">
        <v>10</v>
      </c>
      <c r="E42">
        <v>400</v>
      </c>
      <c r="F42">
        <v>10</v>
      </c>
      <c r="G42">
        <f>1500+1485+100</f>
        <v>3085</v>
      </c>
      <c r="H42" t="s">
        <v>286</v>
      </c>
      <c r="I42" t="s">
        <v>276</v>
      </c>
      <c r="J42" t="s">
        <v>287</v>
      </c>
      <c r="M42" t="s">
        <v>288</v>
      </c>
      <c r="N42">
        <v>2</v>
      </c>
      <c r="O42">
        <v>1</v>
      </c>
      <c r="P42">
        <v>1</v>
      </c>
      <c r="Q42">
        <v>1</v>
      </c>
      <c r="R42">
        <v>2</v>
      </c>
    </row>
    <row r="44" spans="1:19" x14ac:dyDescent="0.25">
      <c r="A44" t="s">
        <v>289</v>
      </c>
      <c r="B44" t="s">
        <v>311</v>
      </c>
      <c r="C44">
        <v>5000</v>
      </c>
      <c r="D44">
        <v>10</v>
      </c>
      <c r="E44">
        <v>400</v>
      </c>
      <c r="F44">
        <v>10</v>
      </c>
      <c r="G44">
        <f>1450</f>
        <v>1450</v>
      </c>
      <c r="I44" t="s">
        <v>276</v>
      </c>
      <c r="M44" t="s">
        <v>290</v>
      </c>
    </row>
  </sheetData>
  <mergeCells count="3">
    <mergeCell ref="E1:F1"/>
    <mergeCell ref="N1:R1"/>
    <mergeCell ref="G1:G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
  <sheetViews>
    <sheetView workbookViewId="0">
      <selection activeCell="C35" sqref="C35:D38"/>
    </sheetView>
  </sheetViews>
  <sheetFormatPr defaultRowHeight="15" x14ac:dyDescent="0.25"/>
  <sheetData>
    <row r="1" spans="1:20" x14ac:dyDescent="0.25">
      <c r="C1" s="13" t="s">
        <v>293</v>
      </c>
      <c r="D1" s="13"/>
      <c r="E1" s="13" t="s">
        <v>222</v>
      </c>
      <c r="F1" s="13"/>
      <c r="G1" s="13"/>
      <c r="H1" s="13" t="s">
        <v>306</v>
      </c>
      <c r="I1" t="s">
        <v>4</v>
      </c>
      <c r="J1" t="s">
        <v>5</v>
      </c>
      <c r="K1" t="s">
        <v>25</v>
      </c>
      <c r="L1" t="s">
        <v>27</v>
      </c>
      <c r="M1" t="s">
        <v>28</v>
      </c>
      <c r="N1" t="s">
        <v>51</v>
      </c>
      <c r="O1" s="13" t="s">
        <v>217</v>
      </c>
      <c r="P1" s="13"/>
      <c r="Q1" s="13"/>
      <c r="R1" s="13"/>
      <c r="S1" s="13"/>
      <c r="T1" t="s">
        <v>238</v>
      </c>
    </row>
    <row r="2" spans="1:20" x14ac:dyDescent="0.25">
      <c r="C2" s="2" t="s">
        <v>0</v>
      </c>
      <c r="D2" s="2" t="s">
        <v>216</v>
      </c>
      <c r="E2" s="2" t="s">
        <v>0</v>
      </c>
      <c r="F2" s="2" t="s">
        <v>216</v>
      </c>
      <c r="G2" s="2" t="s">
        <v>294</v>
      </c>
      <c r="H2" s="13"/>
      <c r="O2" t="s">
        <v>233</v>
      </c>
      <c r="P2" t="s">
        <v>232</v>
      </c>
      <c r="Q2" t="s">
        <v>229</v>
      </c>
      <c r="R2" t="s">
        <v>230</v>
      </c>
      <c r="S2" t="s">
        <v>231</v>
      </c>
    </row>
    <row r="3" spans="1:20" x14ac:dyDescent="0.25">
      <c r="A3" s="8" t="s">
        <v>100</v>
      </c>
      <c r="B3" s="8"/>
      <c r="C3" s="7"/>
      <c r="D3" s="7"/>
      <c r="E3" s="7"/>
      <c r="F3" s="7"/>
      <c r="G3" s="7"/>
      <c r="H3" s="7"/>
      <c r="I3" s="7"/>
      <c r="J3" s="7"/>
      <c r="K3" s="7"/>
      <c r="L3" s="7"/>
      <c r="M3" s="7"/>
      <c r="N3" s="7"/>
      <c r="O3" s="7"/>
      <c r="P3" s="7"/>
      <c r="Q3" s="7"/>
      <c r="R3" s="7"/>
      <c r="S3" s="7"/>
      <c r="T3" s="7"/>
    </row>
    <row r="5" spans="1:20" x14ac:dyDescent="0.25">
      <c r="A5" t="s">
        <v>291</v>
      </c>
    </row>
    <row r="6" spans="1:20" x14ac:dyDescent="0.25">
      <c r="A6" t="s">
        <v>292</v>
      </c>
      <c r="B6" t="s">
        <v>313</v>
      </c>
      <c r="C6">
        <v>100</v>
      </c>
      <c r="D6">
        <v>5</v>
      </c>
      <c r="E6">
        <v>100</v>
      </c>
      <c r="F6">
        <v>5</v>
      </c>
      <c r="G6">
        <v>50</v>
      </c>
      <c r="S6">
        <v>1</v>
      </c>
    </row>
    <row r="7" spans="1:20" x14ac:dyDescent="0.25">
      <c r="A7" t="s">
        <v>295</v>
      </c>
      <c r="B7" t="s">
        <v>313</v>
      </c>
      <c r="C7">
        <v>100</v>
      </c>
      <c r="D7">
        <v>5</v>
      </c>
      <c r="E7">
        <v>100</v>
      </c>
      <c r="F7">
        <v>5</v>
      </c>
      <c r="G7">
        <v>50</v>
      </c>
      <c r="H7">
        <v>200</v>
      </c>
      <c r="I7" t="s">
        <v>296</v>
      </c>
      <c r="Q7">
        <v>1</v>
      </c>
    </row>
    <row r="8" spans="1:20" x14ac:dyDescent="0.25">
      <c r="A8" t="s">
        <v>297</v>
      </c>
      <c r="B8" t="s">
        <v>313</v>
      </c>
      <c r="C8">
        <v>100</v>
      </c>
      <c r="D8">
        <v>5</v>
      </c>
      <c r="E8">
        <v>100</v>
      </c>
      <c r="F8">
        <v>5</v>
      </c>
      <c r="G8">
        <v>50</v>
      </c>
      <c r="H8">
        <v>200</v>
      </c>
      <c r="K8" t="s">
        <v>298</v>
      </c>
      <c r="R8">
        <v>1</v>
      </c>
    </row>
    <row r="9" spans="1:20" x14ac:dyDescent="0.25">
      <c r="A9" t="s">
        <v>299</v>
      </c>
      <c r="B9" t="s">
        <v>313</v>
      </c>
      <c r="C9">
        <v>100</v>
      </c>
      <c r="D9">
        <v>5</v>
      </c>
      <c r="E9">
        <v>100</v>
      </c>
      <c r="F9">
        <v>5</v>
      </c>
      <c r="G9">
        <v>50</v>
      </c>
      <c r="H9">
        <v>200</v>
      </c>
      <c r="I9" t="s">
        <v>300</v>
      </c>
      <c r="P9">
        <v>1</v>
      </c>
    </row>
    <row r="10" spans="1:20" x14ac:dyDescent="0.25">
      <c r="A10" t="s">
        <v>301</v>
      </c>
      <c r="B10" t="s">
        <v>313</v>
      </c>
      <c r="C10">
        <v>100</v>
      </c>
      <c r="D10">
        <v>5</v>
      </c>
      <c r="E10">
        <v>100</v>
      </c>
      <c r="F10">
        <v>5</v>
      </c>
      <c r="G10">
        <v>50</v>
      </c>
      <c r="H10">
        <v>200</v>
      </c>
      <c r="I10" t="s">
        <v>49</v>
      </c>
      <c r="O10">
        <v>1</v>
      </c>
    </row>
    <row r="11" spans="1:20" x14ac:dyDescent="0.25">
      <c r="A11" s="8" t="s">
        <v>99</v>
      </c>
      <c r="B11" s="8"/>
      <c r="C11" s="7"/>
      <c r="D11" s="7"/>
      <c r="E11" s="7"/>
      <c r="F11" s="7"/>
      <c r="G11" s="7"/>
      <c r="H11" s="7"/>
      <c r="I11" s="7"/>
      <c r="J11" s="7"/>
      <c r="K11" s="7"/>
      <c r="L11" s="7"/>
      <c r="M11" s="7"/>
      <c r="N11" s="7"/>
      <c r="O11" s="7"/>
      <c r="P11" s="7"/>
      <c r="Q11" s="7"/>
      <c r="R11" s="7"/>
      <c r="S11" s="7"/>
      <c r="T11" s="7"/>
    </row>
    <row r="12" spans="1:20" x14ac:dyDescent="0.25">
      <c r="A12" t="s">
        <v>302</v>
      </c>
      <c r="B12" t="s">
        <v>14</v>
      </c>
      <c r="C12">
        <v>600</v>
      </c>
      <c r="D12">
        <v>10</v>
      </c>
      <c r="E12">
        <v>200</v>
      </c>
      <c r="F12">
        <v>10</v>
      </c>
      <c r="G12">
        <v>100</v>
      </c>
      <c r="H12">
        <f>150+100+250</f>
        <v>500</v>
      </c>
      <c r="I12" t="s">
        <v>49</v>
      </c>
      <c r="N12" t="s">
        <v>303</v>
      </c>
      <c r="O12">
        <v>1</v>
      </c>
      <c r="P12">
        <v>1</v>
      </c>
      <c r="Q12">
        <v>2</v>
      </c>
      <c r="R12">
        <v>2</v>
      </c>
      <c r="S12">
        <v>1</v>
      </c>
      <c r="T12" t="s">
        <v>304</v>
      </c>
    </row>
    <row r="13" spans="1:20" x14ac:dyDescent="0.25">
      <c r="A13" t="s">
        <v>305</v>
      </c>
      <c r="B13" t="s">
        <v>310</v>
      </c>
      <c r="C13">
        <v>4000</v>
      </c>
      <c r="D13">
        <v>10</v>
      </c>
      <c r="E13">
        <v>400</v>
      </c>
      <c r="F13">
        <v>10</v>
      </c>
      <c r="G13">
        <v>200</v>
      </c>
      <c r="H13">
        <f>250+280+220+1250</f>
        <v>2000</v>
      </c>
      <c r="I13" t="s">
        <v>307</v>
      </c>
      <c r="L13" t="s">
        <v>308</v>
      </c>
      <c r="O13">
        <v>2</v>
      </c>
      <c r="P13">
        <v>1</v>
      </c>
      <c r="Q13">
        <v>2</v>
      </c>
      <c r="R13">
        <v>1</v>
      </c>
      <c r="S13">
        <v>1</v>
      </c>
      <c r="T13" t="s">
        <v>309</v>
      </c>
    </row>
    <row r="14" spans="1:20" x14ac:dyDescent="0.25">
      <c r="A14" t="s">
        <v>314</v>
      </c>
      <c r="B14" t="s">
        <v>310</v>
      </c>
      <c r="C14">
        <v>4000</v>
      </c>
      <c r="D14">
        <v>10</v>
      </c>
      <c r="E14">
        <v>400</v>
      </c>
      <c r="F14">
        <v>10</v>
      </c>
      <c r="G14">
        <v>200</v>
      </c>
      <c r="H14">
        <v>2200</v>
      </c>
      <c r="I14" t="s">
        <v>315</v>
      </c>
      <c r="N14" t="s">
        <v>316</v>
      </c>
      <c r="O14">
        <v>2</v>
      </c>
      <c r="P14">
        <v>2</v>
      </c>
      <c r="Q14">
        <v>2</v>
      </c>
      <c r="R14">
        <v>2</v>
      </c>
      <c r="S14">
        <v>1</v>
      </c>
    </row>
    <row r="15" spans="1:20" x14ac:dyDescent="0.25">
      <c r="A15" t="s">
        <v>317</v>
      </c>
      <c r="B15" t="s">
        <v>14</v>
      </c>
      <c r="C15">
        <v>600</v>
      </c>
      <c r="D15">
        <v>10</v>
      </c>
      <c r="E15">
        <v>200</v>
      </c>
      <c r="F15">
        <v>10</v>
      </c>
      <c r="G15">
        <v>100</v>
      </c>
      <c r="H15">
        <v>550</v>
      </c>
      <c r="N15" t="s">
        <v>318</v>
      </c>
      <c r="O15">
        <v>1</v>
      </c>
      <c r="P15">
        <v>1</v>
      </c>
      <c r="Q15">
        <v>1</v>
      </c>
      <c r="R15">
        <v>1</v>
      </c>
      <c r="S15">
        <v>1</v>
      </c>
    </row>
    <row r="16" spans="1:20" x14ac:dyDescent="0.25">
      <c r="A16" t="s">
        <v>319</v>
      </c>
      <c r="B16" t="s">
        <v>41</v>
      </c>
      <c r="C16">
        <v>1200</v>
      </c>
      <c r="D16">
        <v>10</v>
      </c>
      <c r="E16">
        <v>200</v>
      </c>
      <c r="F16">
        <v>10</v>
      </c>
      <c r="G16">
        <v>100</v>
      </c>
      <c r="H16">
        <f>35+40+15+25+500</f>
        <v>615</v>
      </c>
      <c r="I16" t="s">
        <v>321</v>
      </c>
      <c r="K16" t="s">
        <v>320</v>
      </c>
      <c r="N16" t="s">
        <v>322</v>
      </c>
      <c r="O16">
        <v>1</v>
      </c>
      <c r="P16">
        <v>1</v>
      </c>
      <c r="Q16">
        <v>2</v>
      </c>
      <c r="R16">
        <v>1</v>
      </c>
      <c r="S16">
        <v>2</v>
      </c>
    </row>
    <row r="17" spans="1:19" x14ac:dyDescent="0.25">
      <c r="A17" t="s">
        <v>323</v>
      </c>
      <c r="C17">
        <v>600</v>
      </c>
      <c r="H17">
        <f>200+300+50</f>
        <v>550</v>
      </c>
      <c r="I17" t="s">
        <v>49</v>
      </c>
      <c r="J17" t="s">
        <v>276</v>
      </c>
      <c r="K17" t="s">
        <v>324</v>
      </c>
      <c r="N17" t="s">
        <v>325</v>
      </c>
      <c r="O17">
        <v>2</v>
      </c>
      <c r="P17">
        <v>1</v>
      </c>
      <c r="Q17">
        <v>2</v>
      </c>
      <c r="R17">
        <v>2</v>
      </c>
      <c r="S17">
        <v>1</v>
      </c>
    </row>
  </sheetData>
  <mergeCells count="4">
    <mergeCell ref="E1:G1"/>
    <mergeCell ref="H1:H2"/>
    <mergeCell ref="O1:S1"/>
    <mergeCell ref="C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workbookViewId="0">
      <selection activeCell="C35" sqref="C35:D38"/>
    </sheetView>
  </sheetViews>
  <sheetFormatPr defaultRowHeight="15" x14ac:dyDescent="0.25"/>
  <sheetData>
    <row r="1" spans="1:16" x14ac:dyDescent="0.25">
      <c r="C1" s="13" t="s">
        <v>0</v>
      </c>
      <c r="D1" s="13"/>
      <c r="E1" s="13"/>
      <c r="F1" s="2" t="s">
        <v>47</v>
      </c>
      <c r="G1" t="s">
        <v>1</v>
      </c>
      <c r="H1" t="s">
        <v>33</v>
      </c>
      <c r="I1" t="s">
        <v>2</v>
      </c>
      <c r="J1" t="s">
        <v>3</v>
      </c>
      <c r="K1" t="s">
        <v>4</v>
      </c>
      <c r="L1" t="s">
        <v>5</v>
      </c>
      <c r="M1" t="s">
        <v>25</v>
      </c>
      <c r="N1" t="s">
        <v>27</v>
      </c>
      <c r="O1" t="s">
        <v>28</v>
      </c>
      <c r="P1" t="s">
        <v>51</v>
      </c>
    </row>
    <row r="2" spans="1:16" x14ac:dyDescent="0.25">
      <c r="C2" s="13" t="s">
        <v>45</v>
      </c>
      <c r="D2" s="13"/>
      <c r="E2" s="13"/>
      <c r="F2" s="2"/>
      <c r="G2" s="13" t="s">
        <v>46</v>
      </c>
      <c r="H2" s="13"/>
      <c r="I2" s="13"/>
      <c r="J2" s="13"/>
      <c r="K2" s="13"/>
      <c r="L2" s="13"/>
      <c r="M2" s="13"/>
      <c r="N2" s="13"/>
      <c r="O2" s="13"/>
    </row>
    <row r="3" spans="1:16" x14ac:dyDescent="0.25">
      <c r="A3" s="8" t="s">
        <v>100</v>
      </c>
      <c r="B3" s="8"/>
      <c r="C3" s="7"/>
      <c r="D3" s="7"/>
      <c r="E3" s="7"/>
      <c r="F3" s="7"/>
      <c r="G3" s="7"/>
      <c r="H3" s="7"/>
      <c r="I3" s="7"/>
      <c r="J3" s="7"/>
      <c r="K3" s="7"/>
      <c r="L3" s="7"/>
      <c r="M3" s="7"/>
      <c r="N3" s="7"/>
      <c r="O3" s="7"/>
      <c r="P3" s="7"/>
    </row>
    <row r="4" spans="1:16" x14ac:dyDescent="0.25">
      <c r="A4" t="s">
        <v>326</v>
      </c>
    </row>
    <row r="5" spans="1:16" x14ac:dyDescent="0.25">
      <c r="A5" t="s">
        <v>327</v>
      </c>
      <c r="B5" t="s">
        <v>329</v>
      </c>
      <c r="G5">
        <v>13</v>
      </c>
      <c r="I5">
        <v>74</v>
      </c>
      <c r="J5">
        <v>99</v>
      </c>
      <c r="L5" t="s">
        <v>328</v>
      </c>
    </row>
    <row r="6" spans="1:16" x14ac:dyDescent="0.25">
      <c r="A6" t="s">
        <v>330</v>
      </c>
      <c r="B6" t="s">
        <v>331</v>
      </c>
      <c r="L6" t="s">
        <v>332</v>
      </c>
    </row>
    <row r="7" spans="1:16" x14ac:dyDescent="0.25">
      <c r="A7" t="s">
        <v>333</v>
      </c>
      <c r="B7" t="s">
        <v>334</v>
      </c>
      <c r="G7">
        <v>78</v>
      </c>
      <c r="I7">
        <v>165</v>
      </c>
      <c r="L7" t="s">
        <v>336</v>
      </c>
      <c r="P7" t="s">
        <v>335</v>
      </c>
    </row>
    <row r="9" spans="1:16" x14ac:dyDescent="0.25">
      <c r="A9" t="s">
        <v>337</v>
      </c>
    </row>
  </sheetData>
  <mergeCells count="3">
    <mergeCell ref="C1:E1"/>
    <mergeCell ref="C2:E2"/>
    <mergeCell ref="G2:O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Аркуші</vt:lpstr>
      </vt:variant>
      <vt:variant>
        <vt:i4>5</vt:i4>
      </vt:variant>
    </vt:vector>
  </HeadingPairs>
  <TitlesOfParts>
    <vt:vector size="5" baseType="lpstr">
      <vt:lpstr>энкаунтеры</vt:lpstr>
      <vt:lpstr>свод</vt:lpstr>
      <vt:lpstr>Лист3</vt:lpstr>
      <vt:lpstr>Лист4</vt:lpstr>
      <vt:lpstr>Лист5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Палихов Антон</dc:creator>
  <cp:lastModifiedBy>Anton Palikhov</cp:lastModifiedBy>
  <dcterms:created xsi:type="dcterms:W3CDTF">2015-05-04T22:59:02Z</dcterms:created>
  <dcterms:modified xsi:type="dcterms:W3CDTF">2015-05-26T16:19:10Z</dcterms:modified>
</cp:coreProperties>
</file>